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tabRatio="822" activeTab="0"/>
  </bookViews>
  <sheets>
    <sheet name="1 Cover" sheetId="1" r:id="rId1"/>
    <sheet name="2 Table of Contents" sheetId="2" r:id="rId2"/>
    <sheet name="1 Financial Highlights" sheetId="3" r:id="rId3"/>
    <sheet name="2 Consolidated IS" sheetId="4" r:id="rId4"/>
    <sheet name="3 Canaccord Adams" sheetId="5" r:id="rId5"/>
    <sheet name="4 Private Client" sheetId="6" r:id="rId6"/>
    <sheet name="5 Other" sheetId="7" r:id="rId7"/>
    <sheet name="6 Geographic Canada" sheetId="8" r:id="rId8"/>
    <sheet name="7 Geographic UK"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 r:id="rId18"/>
  </externalReferences>
  <definedNames>
    <definedName name="\B">#REF!</definedName>
    <definedName name="\G">#REF!</definedName>
    <definedName name="\S">#REF!</definedName>
    <definedName name="_2_OR">#REF!</definedName>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#REF!</definedName>
    <definedName name="cci_end_price_Q206">'[2]CCI Stock Prices'!$I$39</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Cover'!$A$1:$I$35</definedName>
    <definedName name="_xlnm.Print_Area" localSheetId="2">'1 Financial Highlights'!$A$1:$AD$81</definedName>
    <definedName name="_xlnm.Print_Area" localSheetId="11">'10 Misc Operating Stats'!$A$1:$AD$45</definedName>
    <definedName name="_xlnm.Print_Area" localSheetId="12">'11 Equity Offerings'!$A$1:$U$70</definedName>
    <definedName name="_xlnm.Print_Area" localSheetId="13">'12 Notes'!$A$1:$L$42</definedName>
    <definedName name="_xlnm.Print_Area" localSheetId="3">'2 Consolidated IS'!$A$1:$AD$71</definedName>
    <definedName name="_xlnm.Print_Area" localSheetId="4">'3 Canaccord Adams'!$A$1:$AD$61</definedName>
    <definedName name="_xlnm.Print_Area" localSheetId="5">'4 Private Client'!$A$1:$AD$57</definedName>
    <definedName name="_xlnm.Print_Area" localSheetId="6">'5 Other'!$A$1:$AD$43</definedName>
    <definedName name="_xlnm.Print_Area" localSheetId="7">'6 Geographic Canada'!$A$1:$AD$56</definedName>
    <definedName name="_xlnm.Print_Area" localSheetId="8">'7 Geographic UK'!$A$1:$AD$47</definedName>
    <definedName name="_xlnm.Print_Area" localSheetId="9">'8 Geographic US'!$A$1:$AD$48</definedName>
    <definedName name="_xlnm.Print_Area" localSheetId="10">'9 Balance Sheet'!$A$1:$W$37</definedName>
    <definedName name="SEP94">#REF!</definedName>
    <definedName name="SEP95">#REF!</definedName>
    <definedName name="SEP97">#REF!</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<sst xmlns="http://schemas.openxmlformats.org/spreadsheetml/2006/main" count="1014" uniqueCount="304">
  <si>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</si>
  <si>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</si>
  <si>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</si>
  <si>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</si>
  <si>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</si>
  <si>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</si>
  <si>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</si>
  <si>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</si>
  <si>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</si>
  <si>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</si>
  <si>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</si>
  <si>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</si>
  <si>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</si>
  <si>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</si>
  <si>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</si>
  <si>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</si>
  <si>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</si>
  <si>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</si>
  <si>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</si>
  <si>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</si>
  <si>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</si>
  <si>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</si>
  <si>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</si>
  <si>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</si>
  <si>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</si>
  <si>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</si>
  <si>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</si>
  <si>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</si>
  <si>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</si>
  <si>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</si>
  <si>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</si>
  <si>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</si>
  <si>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</si>
  <si>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</si>
  <si>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</si>
  <si>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Dividend payout ratio </t>
    </r>
    <r>
      <rPr>
        <vertAlign val="superscript"/>
        <sz val="9"/>
        <rFont val="Arial"/>
        <family val="2"/>
      </rPr>
      <t>(4) (9)</t>
    </r>
  </si>
  <si>
    <r>
      <t xml:space="preserve">Total shareholder return </t>
    </r>
    <r>
      <rPr>
        <vertAlign val="superscript"/>
        <sz val="9"/>
        <rFont val="Arial"/>
        <family val="2"/>
      </rPr>
      <t>(10)</t>
    </r>
  </si>
  <si>
    <r>
      <t xml:space="preserve">Price to earnings multiple </t>
    </r>
    <r>
      <rPr>
        <vertAlign val="superscript"/>
        <sz val="9"/>
        <rFont val="Arial"/>
        <family val="2"/>
      </rPr>
      <t>(11)</t>
    </r>
  </si>
  <si>
    <r>
      <t xml:space="preserve">Price to book ratio </t>
    </r>
    <r>
      <rPr>
        <vertAlign val="superscript"/>
        <sz val="9"/>
        <rFont val="Arial"/>
        <family val="2"/>
      </rPr>
      <t>(12)</t>
    </r>
  </si>
  <si>
    <t>n.m.: not meaningful</t>
  </si>
  <si>
    <t>p.p.: percentage points</t>
  </si>
  <si>
    <t>Note: Please find notes on Page 12.</t>
  </si>
  <si>
    <t>Q1/09</t>
  </si>
  <si>
    <t>Q4/08</t>
  </si>
  <si>
    <t>Q3/08</t>
  </si>
  <si>
    <t>Q2/08</t>
  </si>
  <si>
    <t>Q1/08</t>
  </si>
  <si>
    <t>Q4/07</t>
  </si>
  <si>
    <t>Q3/07</t>
  </si>
  <si>
    <t>Q2/07</t>
  </si>
  <si>
    <t>Q1/07</t>
  </si>
  <si>
    <t>Increase (decrease)</t>
  </si>
  <si>
    <t>FY08</t>
  </si>
  <si>
    <t>FY07</t>
  </si>
  <si>
    <t>n.m.</t>
  </si>
  <si>
    <t>FY09</t>
  </si>
  <si>
    <t xml:space="preserve"> </t>
  </si>
  <si>
    <t>Canaccord Capital Inc.</t>
  </si>
  <si>
    <t>Supplementary Financial Information</t>
  </si>
  <si>
    <t>(Unaudited and in Canadian dollars)</t>
  </si>
  <si>
    <t>Investor Relations Department</t>
  </si>
  <si>
    <t>For further information, contact:</t>
  </si>
  <si>
    <t>Vice President</t>
  </si>
  <si>
    <t>Decrease</t>
  </si>
  <si>
    <t>Table of contents</t>
  </si>
  <si>
    <t>Page</t>
  </si>
  <si>
    <t xml:space="preserve">Financial highlights </t>
  </si>
  <si>
    <t>Condensed consolidated statement of operations</t>
  </si>
  <si>
    <t xml:space="preserve">Canaccord Adams statement of operations </t>
  </si>
  <si>
    <t xml:space="preserve">Private Client Services statement of operations </t>
  </si>
  <si>
    <t>Corporate and Other segment statement of operations</t>
  </si>
  <si>
    <t>Canada statement of operations</t>
  </si>
  <si>
    <t>UK and Other Foreign Location statement of operations</t>
  </si>
  <si>
    <t>US statement of operations</t>
  </si>
  <si>
    <t>Consolidated balance sheet</t>
  </si>
  <si>
    <t>Miscellaneous operational statistics</t>
  </si>
  <si>
    <t>Financial Post Data Group League Table</t>
  </si>
  <si>
    <t xml:space="preserve">Notes </t>
  </si>
  <si>
    <t>Advisory note:</t>
  </si>
  <si>
    <t>Non-GAAP measures:</t>
  </si>
  <si>
    <t>Currency:</t>
  </si>
  <si>
    <t xml:space="preserve">Unless otherwise specified, all currencies are in Canadian dollars.  </t>
  </si>
  <si>
    <t>Canaccord Group of Companies</t>
  </si>
  <si>
    <t>Notes</t>
  </si>
  <si>
    <t>Financial results are expressed in C$ thousands, except for assets under management, assets under administration, common share information, financial ratios, number of employees, PCS client accounts and investment advisors teams.</t>
  </si>
  <si>
    <t xml:space="preserve">AUM are assets managed on a discretionary basis under our programs generally described as or known as the Independence Accounts, Separately Managed Accounts, and Advisor Managed Accounts offered by </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</si>
  <si>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</si>
  <si>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</si>
  <si>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</si>
  <si>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</si>
  <si>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This is the diluted share number used to calculated diluted EPS.</t>
  </si>
  <si>
    <t>Special distributions per share are not included in the dividend yield and dividend payout calculations.</t>
  </si>
  <si>
    <t xml:space="preserve">Total shareholder return is calculated as the change in share price plus dividends and special distributions paid in the current period as a percentage of the prior period's closing share price, assuming </t>
  </si>
  <si>
    <t>reinvestment of all dividends.</t>
  </si>
  <si>
    <t>The price to earnings multiple is calculated based on the end of period share price and 12-month trailing diluted EPS.</t>
  </si>
  <si>
    <t>The price to book ratio is calculated based on the end of period share price and book value per diluted share.</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</si>
  <si>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</si>
  <si>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</si>
  <si>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Canaccord’s UK operations include activities related to Canaccord Adams Limited, engaged in capital markets activities in the United Kingdom. Revenue derived from capital markets activity outside of Canada, the US and </t>
  </si>
  <si>
    <t>the UK is reported as Other Foreign Location.</t>
  </si>
  <si>
    <t>Income (loss) before income taxes excludes allocated overhead expenses which are included in Corporate and Other segment expenses.</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</si>
  <si>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</si>
  <si>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</si>
  <si>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Upon reviewing the population of Investment Advisors (IAs), it was determined that IAs will be reported as IA teams excluding rookies that have been licensed three years or less, and therefore, historical statistics  </t>
  </si>
  <si>
    <t>prior to Q4/08 have been reclassified.</t>
  </si>
  <si>
    <t xml:space="preserve">Canaccord’s Canadian operations include activities related to Canadian Private Client Services, capital markets activities in Canada delivered through Canaccord Adams (a division of Canaccord Capital Corporation, our </t>
  </si>
  <si>
    <t xml:space="preserve">principal Canadian operating subsidiary), and Canadian Corporate and Other operations. </t>
  </si>
  <si>
    <t xml:space="preserve">Canaccord’s US operations include activities related to US Private Client Services, delivered through Canaccord Capital Corporation (USA), Inc., and US capital markets operations, delivered through Canaccord Adams Inc. </t>
  </si>
  <si>
    <t xml:space="preserve">US Other operations, also delivered through Canaccord Capital Corporation (USA), Inc., include revenue and expenses not specifically allocable to US Private Client Services and US Canaccord Adams. </t>
  </si>
  <si>
    <t>Total compensation in Canaccord Adams Inc. also includes retention costs from the Adams Harkness acquisition.</t>
  </si>
  <si>
    <t xml:space="preserve">A company listed on AIM is required to retain a Nominated Adviser (commonly referred to as Nomad) during the company's life on the market.  Nominated Advisers are responsible, amongst other duties, for warranting that </t>
  </si>
  <si>
    <t>a company is appropriate for joining AIM.  The Nomad is similar to a Financial Adviser on the LSE, but is specific to AIM.</t>
  </si>
  <si>
    <t xml:space="preserve">League table includes all transactions $1.5 million and greater listed on the Canadian exchanges and all Canadian issuer transactions listed on any foreign exchanges.  </t>
  </si>
  <si>
    <t>Number of deals led reflects both led and joint led deals.</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</si>
  <si>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</si>
  <si>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</si>
  <si>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</si>
  <si>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</si>
  <si>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</si>
  <si>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</si>
  <si>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</si>
  <si>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</si>
  <si>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</si>
  <si>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</si>
  <si>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</si>
  <si>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</si>
  <si>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</si>
  <si>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</si>
  <si>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</si>
  <si>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CIBC World Markets</t>
  </si>
  <si>
    <t>BMO Nesbitt Burns</t>
  </si>
  <si>
    <t>Dundee Securities</t>
  </si>
  <si>
    <t>Raymond James</t>
  </si>
  <si>
    <t>Others</t>
  </si>
  <si>
    <t>Cormark Securities</t>
  </si>
  <si>
    <t>Haywood Securities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</si>
  <si>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</si>
  <si>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</si>
  <si>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</si>
  <si>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</si>
  <si>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</si>
  <si>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</si>
  <si>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</si>
  <si>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</si>
  <si>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</si>
  <si>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</si>
  <si>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</si>
  <si>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</si>
  <si>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</si>
  <si>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</si>
  <si>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</si>
  <si>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</si>
  <si>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</si>
  <si>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</si>
  <si>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r>
      <t xml:space="preserve">Total compensation exp. as % of revenue </t>
    </r>
    <r>
      <rPr>
        <vertAlign val="superscript"/>
        <sz val="9"/>
        <rFont val="Arial"/>
        <family val="2"/>
      </rPr>
      <t>(14)</t>
    </r>
  </si>
  <si>
    <t>Non-compensation exp. as % of revenue</t>
  </si>
  <si>
    <t>Total expenses as % of revenue</t>
  </si>
  <si>
    <t>Pre-tax profit margin</t>
  </si>
  <si>
    <t>Effective tax rate</t>
  </si>
  <si>
    <t>Net profit margin</t>
  </si>
  <si>
    <t>Basic earnings (loss) per share</t>
  </si>
  <si>
    <t>Diluted earnings (loss) per share</t>
  </si>
  <si>
    <t>Book value per diluted share</t>
  </si>
  <si>
    <t>Total expenses</t>
  </si>
  <si>
    <t>Basic earnings per share</t>
  </si>
  <si>
    <t>Diluted earnings per share</t>
  </si>
  <si>
    <t>Q4/09</t>
  </si>
  <si>
    <t>Q3/09</t>
  </si>
  <si>
    <t>Q2/09</t>
  </si>
  <si>
    <t>Canada</t>
  </si>
  <si>
    <t>Capital Markets</t>
  </si>
  <si>
    <t>International Trading</t>
  </si>
  <si>
    <t>Registered Traders</t>
  </si>
  <si>
    <t>Fixed Income</t>
  </si>
  <si>
    <t>Total Canada</t>
  </si>
  <si>
    <r>
      <t xml:space="preserve">UK and Other Foreign Location </t>
    </r>
    <r>
      <rPr>
        <vertAlign val="superscript"/>
        <sz val="9"/>
        <rFont val="Arial"/>
        <family val="2"/>
      </rPr>
      <t>(16)</t>
    </r>
  </si>
  <si>
    <r>
      <t xml:space="preserve">Incentive compensation </t>
    </r>
    <r>
      <rPr>
        <vertAlign val="superscript"/>
        <sz val="9"/>
        <rFont val="Arial"/>
        <family val="2"/>
      </rPr>
      <t xml:space="preserve">(13) </t>
    </r>
  </si>
  <si>
    <r>
      <t xml:space="preserve">Trading costs </t>
    </r>
    <r>
      <rPr>
        <vertAlign val="superscript"/>
        <sz val="9"/>
        <rFont val="Arial"/>
        <family val="2"/>
      </rPr>
      <t>(18)</t>
    </r>
  </si>
  <si>
    <t>Restructuring and other costs</t>
  </si>
  <si>
    <t>Number of employees</t>
  </si>
  <si>
    <t>Incentive compensation</t>
  </si>
  <si>
    <t>General and administrative</t>
  </si>
  <si>
    <t>Number of PCS client accounts</t>
  </si>
  <si>
    <t>Canaccord Adams</t>
  </si>
  <si>
    <t>Private Client Services</t>
  </si>
  <si>
    <t>Corporate and Other segment</t>
  </si>
  <si>
    <t>Loss before income taxes</t>
  </si>
  <si>
    <t>Corporate and Other</t>
  </si>
  <si>
    <t xml:space="preserve">Incentive compensation </t>
  </si>
  <si>
    <t>Trading costs</t>
  </si>
  <si>
    <t>Gain on disposal of invts &amp; claims</t>
  </si>
  <si>
    <t>UK and Other Foreign Location</t>
  </si>
  <si>
    <t xml:space="preserve">      Incentive compensation</t>
  </si>
  <si>
    <r>
      <t xml:space="preserve">      National Health Insurance tax </t>
    </r>
    <r>
      <rPr>
        <vertAlign val="superscript"/>
        <sz val="9"/>
        <rFont val="Arial"/>
        <family val="2"/>
      </rPr>
      <t>(13)</t>
    </r>
  </si>
  <si>
    <t>Total incentive compensation</t>
  </si>
  <si>
    <r>
      <t>Total compensation exp. as % of revenue</t>
    </r>
    <r>
      <rPr>
        <vertAlign val="superscript"/>
        <sz val="9"/>
        <rFont val="Arial"/>
        <family val="2"/>
      </rPr>
      <t xml:space="preserve"> (14)</t>
    </r>
  </si>
  <si>
    <t>US</t>
  </si>
  <si>
    <r>
      <t xml:space="preserve">Condensed statement of operations </t>
    </r>
    <r>
      <rPr>
        <b/>
        <i/>
        <vertAlign val="superscript"/>
        <sz val="12"/>
        <rFont val="Arial"/>
        <family val="2"/>
      </rPr>
      <t xml:space="preserve">(16) </t>
    </r>
  </si>
  <si>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</si>
  <si>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</si>
  <si>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</si>
  <si>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</si>
  <si>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</si>
  <si>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</si>
  <si>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</si>
  <si>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Future income taxes</t>
  </si>
  <si>
    <t>Investments</t>
  </si>
  <si>
    <t>Investment in asset backed commercial paper</t>
  </si>
  <si>
    <t>Equipment and leasehold improvements</t>
  </si>
  <si>
    <t>Notes receivable</t>
  </si>
  <si>
    <t>Goodwill and other intangibles</t>
  </si>
  <si>
    <t>Liabilities and shareholders' equity</t>
  </si>
  <si>
    <t>Bank indebtedness</t>
  </si>
  <si>
    <t>Securities sold short, at market</t>
  </si>
  <si>
    <t>Accounts payable and accrued liabilities</t>
  </si>
  <si>
    <t>Income taxes payable</t>
  </si>
  <si>
    <t>Notes payable</t>
  </si>
  <si>
    <t>Convertible debentures</t>
  </si>
  <si>
    <t>Subordinated debt</t>
  </si>
  <si>
    <t>Shareholders' equity</t>
  </si>
  <si>
    <t>Total liabilities and shareholders' equity</t>
  </si>
  <si>
    <t xml:space="preserve">Number of employees in Canada </t>
  </si>
  <si>
    <t>Number in Canaccord Adams</t>
  </si>
  <si>
    <t>Number in Private Client Services</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</si>
  <si>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</si>
  <si>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</si>
  <si>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</si>
  <si>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</si>
  <si>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</si>
  <si>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</si>
  <si>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Number of companies with Canaccord Adams Limited as Broker</t>
  </si>
  <si>
    <t>London Stock Exchange (LSE)</t>
  </si>
  <si>
    <t>Alternative Investment Market (AIM)</t>
  </si>
  <si>
    <t>Total Broker</t>
  </si>
  <si>
    <t>LSE</t>
  </si>
  <si>
    <t>AIM</t>
  </si>
  <si>
    <t xml:space="preserve">Total Nomad / Financial Adviser </t>
  </si>
  <si>
    <t>Annualized ROE</t>
  </si>
  <si>
    <r>
      <t xml:space="preserve">Incentive compensation </t>
    </r>
    <r>
      <rPr>
        <vertAlign val="superscript"/>
        <sz val="9"/>
        <rFont val="Arial"/>
        <family val="2"/>
      </rPr>
      <t>(13)</t>
    </r>
  </si>
  <si>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</si>
  <si>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</si>
  <si>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</si>
  <si>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</si>
  <si>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</si>
  <si>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GMP Securities</t>
  </si>
  <si>
    <t>RBC Capital Markets</t>
  </si>
  <si>
    <t>BMO Capital Markets</t>
  </si>
  <si>
    <t>CIBC World Markets Inc.</t>
  </si>
  <si>
    <t>Raymond James Ltd.</t>
  </si>
  <si>
    <t>FY04</t>
  </si>
  <si>
    <t>(decrease)</t>
  </si>
  <si>
    <t xml:space="preserve">Canaccord.  </t>
  </si>
  <si>
    <t xml:space="preserve">In Q4/07, the definition of diluted shares outstanding was revised to include shares related to share issuance commitment.  </t>
  </si>
  <si>
    <r>
      <t xml:space="preserve">Income (loss) before income taxes </t>
    </r>
    <r>
      <rPr>
        <vertAlign val="superscript"/>
        <sz val="9"/>
        <rFont val="Arial"/>
        <family val="2"/>
      </rPr>
      <t>(17)</t>
    </r>
  </si>
  <si>
    <r>
      <t>Trading costs</t>
    </r>
    <r>
      <rPr>
        <vertAlign val="superscript"/>
        <sz val="9"/>
        <rFont val="Arial"/>
        <family val="2"/>
      </rPr>
      <t xml:space="preserve"> </t>
    </r>
  </si>
  <si>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</si>
  <si>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(21)</t>
    </r>
  </si>
  <si>
    <r>
      <t>Total compensation exp. as % of revenue</t>
    </r>
    <r>
      <rPr>
        <vertAlign val="superscript"/>
        <sz val="9"/>
        <rFont val="Arial"/>
        <family val="2"/>
      </rPr>
      <t xml:space="preserve"> (14) (22)</t>
    </r>
  </si>
  <si>
    <r>
      <t xml:space="preserve">Number of Advisory Teams </t>
    </r>
    <r>
      <rPr>
        <vertAlign val="superscript"/>
        <sz val="9"/>
        <rFont val="Arial"/>
        <family val="2"/>
      </rPr>
      <t>(19)</t>
    </r>
  </si>
  <si>
    <r>
      <t xml:space="preserve">AUA per Advisory Team ($ millions) </t>
    </r>
    <r>
      <rPr>
        <vertAlign val="superscript"/>
        <sz val="9"/>
        <rFont val="Arial"/>
        <family val="2"/>
      </rPr>
      <t>(19)</t>
    </r>
  </si>
  <si>
    <r>
      <t xml:space="preserve">Number of companies with Canaccord Adams Limited as Nomad / Financial Adviser </t>
    </r>
    <r>
      <rPr>
        <vertAlign val="superscript"/>
        <sz val="9"/>
        <rFont val="Arial"/>
        <family val="2"/>
      </rPr>
      <t>(23)</t>
    </r>
  </si>
  <si>
    <r>
      <t>Financial Post Data Group League Table</t>
    </r>
    <r>
      <rPr>
        <b/>
        <i/>
        <vertAlign val="superscript"/>
        <sz val="20"/>
        <rFont val="Times New Roman"/>
        <family val="1"/>
      </rPr>
      <t xml:space="preserve"> (24)</t>
    </r>
    <r>
      <rPr>
        <i/>
        <sz val="20"/>
        <rFont val="Times New Roman"/>
        <family val="1"/>
      </rPr>
      <t xml:space="preserve"> </t>
    </r>
    <r>
      <rPr>
        <b/>
        <i/>
        <sz val="20"/>
        <color indexed="10"/>
        <rFont val="Times New Roman"/>
        <family val="1"/>
      </rPr>
      <t xml:space="preserve"> </t>
    </r>
  </si>
  <si>
    <r>
      <t xml:space="preserve">led </t>
    </r>
    <r>
      <rPr>
        <b/>
        <vertAlign val="superscript"/>
        <sz val="11"/>
        <rFont val="Arial"/>
        <family val="2"/>
      </rPr>
      <t>(25)</t>
    </r>
  </si>
  <si>
    <r>
      <t xml:space="preserve">PCS fee-related revenue </t>
    </r>
    <r>
      <rPr>
        <vertAlign val="superscript"/>
        <sz val="9"/>
        <rFont val="Arial"/>
        <family val="2"/>
      </rPr>
      <t>(18)</t>
    </r>
  </si>
  <si>
    <r>
      <t xml:space="preserve">Number of employees firm wide </t>
    </r>
    <r>
      <rPr>
        <vertAlign val="superscript"/>
        <sz val="9"/>
        <rFont val="Arial"/>
        <family val="2"/>
      </rPr>
      <t>(27)</t>
    </r>
  </si>
  <si>
    <t>The employee count excludes temporary employees and those on long term disability but includes employees on leave of absence.</t>
  </si>
  <si>
    <t>Fiscal 2009 vs. Fiscal 2008:</t>
  </si>
  <si>
    <t>Blackmont Capital Inc.</t>
  </si>
  <si>
    <r>
      <t xml:space="preserve">US </t>
    </r>
    <r>
      <rPr>
        <vertAlign val="superscript"/>
        <sz val="9"/>
        <rFont val="Arial"/>
        <family val="2"/>
      </rPr>
      <t>(21)</t>
    </r>
  </si>
  <si>
    <r>
      <t>Number of Advisory Teams</t>
    </r>
    <r>
      <rPr>
        <vertAlign val="superscript"/>
        <sz val="9"/>
        <rFont val="Arial"/>
        <family val="2"/>
      </rPr>
      <t xml:space="preserve"> (19)</t>
    </r>
  </si>
  <si>
    <r>
      <t xml:space="preserve">Loss before income taxes </t>
    </r>
    <r>
      <rPr>
        <vertAlign val="superscript"/>
        <sz val="9"/>
        <rFont val="Arial"/>
        <family val="2"/>
      </rPr>
      <t>(17)</t>
    </r>
  </si>
  <si>
    <t>GMP Securities L.P</t>
  </si>
  <si>
    <t>Dundee Securities Corp.</t>
  </si>
  <si>
    <t>Scotia Capital Markets</t>
  </si>
  <si>
    <t>Haywood Securities inc.</t>
  </si>
  <si>
    <t xml:space="preserve">Wellington West Capital </t>
  </si>
  <si>
    <t>TD Securities</t>
  </si>
  <si>
    <t>Blackmont Capital</t>
  </si>
  <si>
    <t>Net income  (loss)</t>
  </si>
  <si>
    <t>Impairment of goodwill and intangibles</t>
  </si>
  <si>
    <r>
      <t xml:space="preserve">Supplementary Information Excluding Significant Items (Non-GAAP) </t>
    </r>
    <r>
      <rPr>
        <b/>
        <i/>
        <vertAlign val="superscript"/>
        <sz val="10"/>
        <rFont val="Arial"/>
        <family val="2"/>
      </rPr>
      <t>(15)</t>
    </r>
  </si>
  <si>
    <t>Canaccord relief program</t>
  </si>
  <si>
    <t>Excludes ABCP fair value adjustment, Canaccord relief program, Impairment of goodwill and intangibles and Restructuring costs.</t>
  </si>
  <si>
    <t>Fourth Quarter Fiscal 2009</t>
  </si>
  <si>
    <t>For the period ended March 31, 2009</t>
  </si>
  <si>
    <t>FY09 vs FY08</t>
  </si>
  <si>
    <t>Q4/09 vs. Q4/08</t>
  </si>
  <si>
    <t>Q4/09 vs. Q4/08:</t>
  </si>
  <si>
    <t>Fiscal 2009 (April 1, 2008 - March 31, 2009)</t>
  </si>
  <si>
    <t>Fiscal 2008 (April 1, 2007 - March 31, 2008)</t>
  </si>
  <si>
    <t>Restructuring costs</t>
  </si>
  <si>
    <t>GMP Capital Trust</t>
  </si>
  <si>
    <t>RBC Dominion Securities</t>
  </si>
  <si>
    <t>Macquarie Capital Markets</t>
  </si>
  <si>
    <t>Canaccord Adams (26)</t>
  </si>
  <si>
    <t>UBS Securities Cda Inc.</t>
  </si>
  <si>
    <t>Genuity Capital Markets</t>
  </si>
  <si>
    <t>Q4/09 (January 1, 2009 - March 31, 2009)</t>
  </si>
  <si>
    <t>Q4/08 (January 1, 2008 - March 31, 2008)</t>
  </si>
  <si>
    <t>Joy Fenney</t>
  </si>
  <si>
    <t>416-869-3515</t>
  </si>
  <si>
    <t>This document is not audited and should be read in conjunction with the Fourth Quarter Fiscal 2009 Quarterly Report to Shareholders (unaudited) dated May 20, 2009, and the Annual Report dated May 20, 2009.  Canaccord's fiscal year end is defined as March 31st of each year.  Canaccord's fourth quarter fiscal 2009 ended March 31, 2009 is also referred to as Q4/09 in the following disclosure.</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</si>
  <si>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supplementary information excluding significant items, capital employed, return on average common equity (ROE),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</si>
  <si>
    <t xml:space="preserve">Source: FP Informat (accurate as of April 7, 2009); Company information.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</si>
</sst>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numFmt numFmtId="186" formatCode="#,##0.0\ ;\(#,##0\);\-&quot; &quot;"/>
    <numFmt numFmtId="187" formatCode="#,##0.00%"/>
    <numFmt numFmtId="188" formatCode="#,##0%"/>
    <numFmt numFmtId="189" formatCode="#,##0;\(#,##0\);&quot;-&quot;"/>
    <numFmt numFmtId="190" formatCode="[$-409]mmmm\ d\,\ yyyy;@"/>
    <numFmt numFmtId="191" formatCode="_(* #,##0_);_(* \(#,##0\);_(* &quot;-&quot;??_);_(@_)"/>
    <numFmt numFmtId="192" formatCode="_-* #,##0.0000_-;\-* #,##0.0000_-;_-* &quot;-&quot;??_-;_-@_-"/>
    <numFmt numFmtId="193" formatCode="[$-F800]dddd\,\ mmmm\ dd\,\ yyyy"/>
    <numFmt numFmtId="194" formatCode="0.0000"/>
    <numFmt numFmtId="195" formatCode="0.00_);\(0.00\)"/>
    <numFmt numFmtId="196" formatCode="#,##0.0000\ ;\(#,##0.0000\);\-&quot; &quot;"/>
    <numFmt numFmtId="197" formatCode="#,##0.000000000\ ;\(#,##0.000000000\);\-&quot; &quot;"/>
    <numFmt numFmtId="198" formatCode="0;[Red]0"/>
    <numFmt numFmtId="199" formatCode="_-&quot;$&quot;* #,##0.000_-;\-&quot;$&quot;* #,##0.000_-;_-&quot;$&quot;* &quot;-&quot;??_-;_-@_-"/>
    <numFmt numFmtId="200" formatCode="#,##0.000"/>
    <numFmt numFmtId="201" formatCode="#,##0.00;[Red]\(#,##0.00\)"/>
    <numFmt numFmtId="202" formatCode="&quot;Yes&quot;;&quot;Yes&quot;;&quot;No&quot;"/>
    <numFmt numFmtId="203" formatCode="&quot;True&quot;;&quot;True&quot;;&quot;False&quot;"/>
    <numFmt numFmtId="204" formatCode="&quot;On&quot;;&quot;On&quot;;&quot;Off&quot;"/>
    <numFmt numFmtId="205" formatCode="[$€-2]\ #,##0.00_);[Red]\([$€-2]\ #,##0.00\)"/>
    <numFmt numFmtId="206" formatCode="0.000%"/>
    <numFmt numFmtId="207" formatCode="0.0000%"/>
    <numFmt numFmtId="208" formatCode="0_);\(0\)"/>
    <numFmt numFmtId="209" formatCode="0.000_);\(0.000\)"/>
    <numFmt numFmtId="210" formatCode="_(* #,##0.0_);_(* \(#,##0.0\);_(* &quot;-&quot;??_);_(@_)"/>
    <numFmt numFmtId="211" formatCode="0.000000"/>
    <numFmt numFmtId="212" formatCode="0.00000"/>
    <numFmt numFmtId="213" formatCode="0.000000000000000%"/>
    <numFmt numFmtId="214" formatCode="_(* #,##0.000_);_(* \(#,##0.000\);_(* &quot;-&quot;???_);_(@_)"/>
  </numFmts>
  <fonts count="45">
    <font>
      <sz val="10"/>
      <name val="Arial"/>
      <family val="0"/>
    </font>
    <font>
      <sz val="8"/>
      <name val="Arial"/>
      <family val="0"/>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36"/>
      <name val="Arial"/>
      <family val="0"/>
    </font>
    <font>
      <u val="single"/>
      <sz val="10"/>
      <color indexed="12"/>
      <name val="Arial"/>
      <family val="0"/>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u val="single"/>
      <sz val="11"/>
      <name val="Arial"/>
      <family val="2"/>
    </font>
    <font>
      <b/>
      <sz val="11"/>
      <name val="Arial"/>
      <family val="2"/>
    </font>
    <font>
      <b/>
      <vertAlign val="superscript"/>
      <sz val="11"/>
      <name val="Arial"/>
      <family val="2"/>
    </font>
    <font>
      <b/>
      <sz val="10"/>
      <name val="Times New Roman"/>
      <family val="1"/>
    </font>
    <font>
      <sz val="11"/>
      <name val="Times New Roman"/>
      <family val="1"/>
    </font>
    <font>
      <b/>
      <sz val="11"/>
      <color indexed="12"/>
      <name val="Arial"/>
      <family val="2"/>
    </font>
    <font>
      <sz val="9"/>
      <color indexed="10"/>
      <name val="Arial"/>
      <family val="2"/>
    </font>
    <font>
      <b/>
      <i/>
      <vertAlign val="superscript"/>
      <sz val="12"/>
      <name val="Arial"/>
      <family val="2"/>
    </font>
    <font>
      <sz val="10"/>
      <color indexed="12"/>
      <name val="Arial"/>
      <family val="2"/>
    </font>
    <font>
      <sz val="9"/>
      <color indexed="17"/>
      <name val="Arial"/>
      <family val="2"/>
    </font>
    <font>
      <b/>
      <sz val="9"/>
      <color indexed="12"/>
      <name val="Arial"/>
      <family val="0"/>
    </font>
    <font>
      <sz val="9"/>
      <color indexed="12"/>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23">
    <border>
      <left/>
      <right/>
      <top/>
      <bottom/>
      <diagonal/>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653">
    <xf numFmtId="0" fontId="0" fillId="0" borderId="0" xfId="0"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2" fillId="0"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172" fontId="5" fillId="0" borderId="0" xfId="0" applyNumberFormat="1" applyFont="1" applyFill="1" applyBorder="1" applyAlignment="1">
      <alignment/>
    </xf>
    <xf numFmtId="173" fontId="7" fillId="0" borderId="0" xfId="0" applyNumberFormat="1" applyFont="1" applyFill="1" applyBorder="1" applyAlignment="1">
      <alignment/>
    </xf>
    <xf numFmtId="173" fontId="5" fillId="0" borderId="0" xfId="0" applyNumberFormat="1" applyFont="1" applyFill="1" applyBorder="1" applyAlignment="1">
      <alignment/>
    </xf>
    <xf numFmtId="173" fontId="2" fillId="0" borderId="0" xfId="0" applyNumberFormat="1" applyFont="1" applyBorder="1" applyAlignment="1">
      <alignment/>
    </xf>
    <xf numFmtId="0" fontId="0" fillId="0" borderId="0" xfId="0" applyFill="1" applyBorder="1" applyAlignment="1">
      <alignment/>
    </xf>
    <xf numFmtId="0" fontId="10" fillId="0" borderId="1"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10" fillId="0" borderId="5" xfId="0" applyFont="1" applyFill="1" applyBorder="1" applyAlignment="1">
      <alignment horizontal="center"/>
    </xf>
    <xf numFmtId="0" fontId="10" fillId="0" borderId="6" xfId="0" applyFont="1" applyFill="1" applyBorder="1" applyAlignment="1">
      <alignment horizontal="center"/>
    </xf>
    <xf numFmtId="0" fontId="0" fillId="0" borderId="7" xfId="0" applyBorder="1" applyAlignment="1">
      <alignment/>
    </xf>
    <xf numFmtId="0" fontId="10" fillId="0" borderId="8" xfId="0" applyFont="1" applyFill="1"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174" fontId="5" fillId="0" borderId="11" xfId="15" applyNumberFormat="1" applyFont="1" applyFill="1" applyBorder="1" applyAlignment="1">
      <alignment/>
    </xf>
    <xf numFmtId="175" fontId="5" fillId="0" borderId="11" xfId="15" applyNumberFormat="1" applyFont="1" applyFill="1" applyBorder="1" applyAlignment="1">
      <alignment/>
    </xf>
    <xf numFmtId="173" fontId="5" fillId="0" borderId="11" xfId="23" applyNumberFormat="1" applyFont="1" applyFill="1" applyBorder="1" applyAlignment="1">
      <alignment horizontal="right"/>
    </xf>
    <xf numFmtId="174" fontId="5" fillId="0" borderId="0" xfId="15" applyNumberFormat="1" applyFont="1" applyFill="1" applyBorder="1" applyAlignment="1">
      <alignment/>
    </xf>
    <xf numFmtId="175" fontId="5" fillId="0" borderId="0" xfId="0" applyNumberFormat="1" applyFont="1" applyFill="1" applyBorder="1" applyAlignment="1">
      <alignment/>
    </xf>
    <xf numFmtId="175" fontId="5" fillId="0" borderId="0" xfId="15" applyNumberFormat="1" applyFont="1" applyFill="1" applyBorder="1" applyAlignment="1">
      <alignment/>
    </xf>
    <xf numFmtId="177" fontId="5" fillId="0" borderId="0" xfId="0" applyNumberFormat="1" applyFont="1" applyFill="1" applyBorder="1" applyAlignment="1">
      <alignment/>
    </xf>
    <xf numFmtId="173" fontId="5" fillId="0" borderId="0" xfId="23" applyNumberFormat="1" applyFont="1" applyFill="1" applyBorder="1" applyAlignment="1">
      <alignment/>
    </xf>
    <xf numFmtId="178" fontId="5" fillId="0" borderId="0" xfId="0" applyNumberFormat="1" applyFont="1" applyFill="1" applyBorder="1" applyAlignment="1">
      <alignment/>
    </xf>
    <xf numFmtId="180" fontId="5" fillId="0" borderId="0" xfId="0" applyNumberFormat="1" applyFont="1" applyFill="1" applyBorder="1" applyAlignment="1">
      <alignment horizontal="right"/>
    </xf>
    <xf numFmtId="174" fontId="5" fillId="0" borderId="10" xfId="15" applyNumberFormat="1" applyFont="1" applyFill="1" applyBorder="1" applyAlignment="1">
      <alignment/>
    </xf>
    <xf numFmtId="175" fontId="5" fillId="0" borderId="10" xfId="15" applyNumberFormat="1" applyFont="1" applyFill="1" applyBorder="1" applyAlignment="1">
      <alignment/>
    </xf>
    <xf numFmtId="175" fontId="5" fillId="0" borderId="0" xfId="0" applyNumberFormat="1" applyFont="1" applyFill="1" applyBorder="1" applyAlignment="1">
      <alignment horizontal="right"/>
    </xf>
    <xf numFmtId="173" fontId="5" fillId="0" borderId="0" xfId="23" applyNumberFormat="1" applyFont="1" applyFill="1" applyBorder="1" applyAlignment="1">
      <alignment horizontal="right"/>
    </xf>
    <xf numFmtId="176" fontId="5" fillId="0" borderId="0" xfId="23" applyNumberFormat="1" applyFont="1" applyFill="1" applyBorder="1" applyAlignment="1">
      <alignment/>
    </xf>
    <xf numFmtId="174" fontId="5" fillId="0" borderId="9" xfId="15" applyNumberFormat="1" applyFont="1" applyFill="1" applyBorder="1" applyAlignment="1">
      <alignment/>
    </xf>
    <xf numFmtId="39" fontId="5" fillId="0" borderId="0" xfId="0" applyNumberFormat="1" applyFont="1" applyFill="1" applyBorder="1" applyAlignment="1">
      <alignment/>
    </xf>
    <xf numFmtId="173" fontId="5" fillId="0" borderId="11" xfId="0" applyNumberFormat="1" applyFont="1" applyFill="1" applyBorder="1" applyAlignment="1">
      <alignment/>
    </xf>
    <xf numFmtId="173" fontId="5" fillId="0" borderId="11" xfId="23" applyNumberFormat="1" applyFont="1" applyFill="1" applyBorder="1" applyAlignment="1">
      <alignment horizontal="right"/>
    </xf>
    <xf numFmtId="173" fontId="5" fillId="0" borderId="0" xfId="23" applyNumberFormat="1" applyFont="1" applyFill="1" applyBorder="1" applyAlignment="1">
      <alignment horizontal="right"/>
    </xf>
    <xf numFmtId="175" fontId="5" fillId="0" borderId="9" xfId="0" applyNumberFormat="1" applyFont="1" applyFill="1" applyBorder="1" applyAlignment="1">
      <alignment/>
    </xf>
    <xf numFmtId="173" fontId="5" fillId="0" borderId="9" xfId="0" applyNumberFormat="1" applyFont="1" applyFill="1" applyBorder="1" applyAlignment="1">
      <alignment/>
    </xf>
    <xf numFmtId="173" fontId="5" fillId="0" borderId="9" xfId="23" applyNumberFormat="1" applyFont="1" applyFill="1" applyBorder="1" applyAlignment="1">
      <alignment/>
    </xf>
    <xf numFmtId="175" fontId="5" fillId="0" borderId="0" xfId="0" applyNumberFormat="1" applyFont="1" applyFill="1" applyBorder="1" applyAlignment="1">
      <alignment/>
    </xf>
    <xf numFmtId="173" fontId="5" fillId="0" borderId="0" xfId="0" applyNumberFormat="1" applyFont="1" applyFill="1" applyBorder="1" applyAlignment="1">
      <alignment/>
    </xf>
    <xf numFmtId="173" fontId="5" fillId="0" borderId="0" xfId="23" applyNumberFormat="1" applyFont="1" applyFill="1" applyBorder="1" applyAlignment="1">
      <alignment/>
    </xf>
    <xf numFmtId="182" fontId="5" fillId="0" borderId="10" xfId="0" applyNumberFormat="1" applyFont="1" applyFill="1" applyBorder="1" applyAlignment="1">
      <alignment horizontal="right"/>
    </xf>
    <xf numFmtId="174" fontId="5" fillId="0" borderId="0" xfId="15" applyNumberFormat="1" applyFont="1" applyFill="1" applyBorder="1" applyAlignment="1">
      <alignment/>
    </xf>
    <xf numFmtId="174" fontId="5" fillId="0" borderId="10" xfId="15" applyNumberFormat="1" applyFont="1" applyFill="1" applyBorder="1" applyAlignment="1">
      <alignment/>
    </xf>
    <xf numFmtId="174" fontId="5" fillId="0" borderId="11" xfId="15" applyNumberFormat="1" applyFont="1" applyFill="1" applyBorder="1" applyAlignment="1">
      <alignment/>
    </xf>
    <xf numFmtId="0" fontId="5" fillId="0" borderId="0" xfId="0" applyFont="1" applyAlignment="1">
      <alignment/>
    </xf>
    <xf numFmtId="174" fontId="5" fillId="0" borderId="9" xfId="15" applyNumberFormat="1" applyFont="1" applyFill="1" applyBorder="1" applyAlignment="1">
      <alignment/>
    </xf>
    <xf numFmtId="174" fontId="5" fillId="0" borderId="10" xfId="15" applyNumberFormat="1" applyFont="1" applyFill="1" applyBorder="1" applyAlignment="1">
      <alignment horizontal="right"/>
    </xf>
    <xf numFmtId="175" fontId="5" fillId="0" borderId="10" xfId="0" applyNumberFormat="1" applyFont="1" applyFill="1" applyBorder="1" applyAlignment="1">
      <alignment/>
    </xf>
    <xf numFmtId="175" fontId="5" fillId="0" borderId="11" xfId="0" applyNumberFormat="1" applyFont="1" applyFill="1" applyBorder="1" applyAlignment="1">
      <alignment/>
    </xf>
    <xf numFmtId="175" fontId="5" fillId="0" borderId="0" xfId="15" applyNumberFormat="1" applyFont="1" applyFill="1" applyBorder="1" applyAlignment="1">
      <alignment/>
    </xf>
    <xf numFmtId="175" fontId="5" fillId="0" borderId="11" xfId="15" applyNumberFormat="1" applyFont="1" applyFill="1" applyBorder="1" applyAlignment="1">
      <alignment/>
    </xf>
    <xf numFmtId="2" fontId="5" fillId="0" borderId="0" xfId="0" applyNumberFormat="1" applyFont="1" applyFill="1" applyBorder="1" applyAlignment="1">
      <alignment/>
    </xf>
    <xf numFmtId="43" fontId="5" fillId="0" borderId="0" xfId="0" applyNumberFormat="1" applyFont="1" applyFill="1" applyBorder="1" applyAlignment="1">
      <alignment/>
    </xf>
    <xf numFmtId="2" fontId="5" fillId="0" borderId="11" xfId="15" applyNumberFormat="1" applyFont="1" applyFill="1" applyBorder="1" applyAlignment="1">
      <alignment/>
    </xf>
    <xf numFmtId="175" fontId="5" fillId="0" borderId="9" xfId="15" applyNumberFormat="1" applyFont="1" applyFill="1" applyBorder="1" applyAlignment="1">
      <alignment/>
    </xf>
    <xf numFmtId="0" fontId="5" fillId="0" borderId="11" xfId="15" applyNumberFormat="1" applyFont="1" applyFill="1" applyBorder="1" applyAlignment="1">
      <alignment/>
    </xf>
    <xf numFmtId="179" fontId="5" fillId="0" borderId="0" xfId="15" applyNumberFormat="1" applyFont="1" applyFill="1" applyBorder="1" applyAlignment="1">
      <alignment/>
    </xf>
    <xf numFmtId="174" fontId="5" fillId="0" borderId="0" xfId="15" applyNumberFormat="1" applyFont="1" applyFill="1" applyBorder="1" applyAlignment="1">
      <alignment horizontal="right"/>
    </xf>
    <xf numFmtId="174" fontId="5" fillId="0" borderId="11" xfId="15" applyNumberFormat="1" applyFont="1" applyFill="1" applyBorder="1" applyAlignment="1">
      <alignment horizontal="right"/>
    </xf>
    <xf numFmtId="174" fontId="5" fillId="0" borderId="9" xfId="15" applyNumberFormat="1" applyFont="1" applyFill="1" applyBorder="1" applyAlignment="1">
      <alignment horizontal="right"/>
    </xf>
    <xf numFmtId="176" fontId="5" fillId="0" borderId="0" xfId="0" applyNumberFormat="1" applyFont="1" applyFill="1" applyBorder="1" applyAlignment="1">
      <alignment/>
    </xf>
    <xf numFmtId="176" fontId="5" fillId="0" borderId="10" xfId="0" applyNumberFormat="1" applyFont="1" applyFill="1" applyBorder="1" applyAlignment="1">
      <alignment/>
    </xf>
    <xf numFmtId="176" fontId="5" fillId="0" borderId="11" xfId="23" applyNumberFormat="1" applyFont="1" applyFill="1" applyBorder="1" applyAlignment="1">
      <alignment/>
    </xf>
    <xf numFmtId="176" fontId="5" fillId="0" borderId="9" xfId="0" applyNumberFormat="1" applyFont="1" applyFill="1" applyBorder="1" applyAlignment="1">
      <alignment/>
    </xf>
    <xf numFmtId="176" fontId="5" fillId="0" borderId="0" xfId="0" applyNumberFormat="1" applyFont="1" applyFill="1" applyBorder="1" applyAlignment="1">
      <alignment horizontal="right"/>
    </xf>
    <xf numFmtId="177" fontId="5" fillId="0" borderId="0" xfId="0" applyNumberFormat="1" applyFont="1" applyFill="1" applyBorder="1" applyAlignment="1">
      <alignment/>
    </xf>
    <xf numFmtId="39" fontId="5" fillId="0" borderId="11" xfId="0" applyNumberFormat="1" applyFont="1" applyFill="1" applyBorder="1" applyAlignment="1">
      <alignment/>
    </xf>
    <xf numFmtId="175" fontId="5" fillId="0" borderId="0" xfId="0" applyNumberFormat="1" applyFont="1" applyFill="1" applyBorder="1" applyAlignment="1">
      <alignment horizontal="right"/>
    </xf>
    <xf numFmtId="176" fontId="5" fillId="0" borderId="0" xfId="23" applyNumberFormat="1" applyFont="1" applyFill="1" applyBorder="1" applyAlignment="1">
      <alignment/>
    </xf>
    <xf numFmtId="173" fontId="5" fillId="0" borderId="10" xfId="23" applyNumberFormat="1" applyFont="1" applyFill="1" applyBorder="1" applyAlignment="1">
      <alignment/>
    </xf>
    <xf numFmtId="173" fontId="5" fillId="0" borderId="11" xfId="23" applyNumberFormat="1" applyFont="1" applyFill="1" applyBorder="1" applyAlignment="1">
      <alignment/>
    </xf>
    <xf numFmtId="178" fontId="5" fillId="0" borderId="0" xfId="0" applyNumberFormat="1" applyFont="1" applyFill="1" applyBorder="1" applyAlignment="1">
      <alignment/>
    </xf>
    <xf numFmtId="178" fontId="5" fillId="0" borderId="10" xfId="0" applyNumberFormat="1" applyFont="1" applyFill="1" applyBorder="1" applyAlignment="1">
      <alignment/>
    </xf>
    <xf numFmtId="178" fontId="5" fillId="0" borderId="11" xfId="0" applyNumberFormat="1" applyFont="1" applyFill="1" applyBorder="1" applyAlignment="1">
      <alignment/>
    </xf>
    <xf numFmtId="178" fontId="5" fillId="0" borderId="9" xfId="0" applyNumberFormat="1" applyFont="1" applyFill="1" applyBorder="1" applyAlignment="1">
      <alignment/>
    </xf>
    <xf numFmtId="0" fontId="5" fillId="0" borderId="8"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1" xfId="0" applyFont="1" applyBorder="1" applyAlignment="1">
      <alignment/>
    </xf>
    <xf numFmtId="0" fontId="5" fillId="0" borderId="0" xfId="0" applyFont="1" applyAlignment="1">
      <alignment/>
    </xf>
    <xf numFmtId="174" fontId="5" fillId="0" borderId="10" xfId="0" applyNumberFormat="1" applyFont="1" applyFill="1" applyBorder="1" applyAlignment="1">
      <alignment/>
    </xf>
    <xf numFmtId="174" fontId="5" fillId="0" borderId="9" xfId="0" applyNumberFormat="1" applyFont="1" applyFill="1" applyBorder="1" applyAlignment="1">
      <alignment/>
    </xf>
    <xf numFmtId="0" fontId="5" fillId="0" borderId="9" xfId="0" applyFont="1" applyFill="1" applyBorder="1" applyAlignment="1">
      <alignment/>
    </xf>
    <xf numFmtId="0" fontId="5" fillId="0" borderId="0" xfId="0" applyFont="1" applyBorder="1" applyAlignment="1">
      <alignment/>
    </xf>
    <xf numFmtId="39" fontId="5" fillId="0" borderId="10" xfId="15" applyNumberFormat="1" applyFont="1" applyFill="1" applyBorder="1" applyAlignment="1">
      <alignment/>
    </xf>
    <xf numFmtId="0" fontId="10" fillId="0" borderId="7" xfId="0" applyFont="1" applyFill="1" applyBorder="1" applyAlignment="1">
      <alignment horizontal="center"/>
    </xf>
    <xf numFmtId="0" fontId="5" fillId="0" borderId="9" xfId="0" applyFont="1" applyBorder="1" applyAlignment="1">
      <alignment/>
    </xf>
    <xf numFmtId="184" fontId="5" fillId="0" borderId="10"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0" fillId="2" borderId="0" xfId="0" applyFill="1" applyAlignment="1">
      <alignment/>
    </xf>
    <xf numFmtId="0" fontId="16" fillId="0" borderId="0" xfId="0" applyFont="1" applyAlignment="1">
      <alignment horizontal="center"/>
    </xf>
    <xf numFmtId="0" fontId="13" fillId="0" borderId="0" xfId="0" applyFont="1" applyAlignment="1">
      <alignment/>
    </xf>
    <xf numFmtId="190" fontId="13" fillId="0" borderId="0" xfId="0" applyNumberFormat="1" applyFont="1" applyFill="1" applyAlignment="1">
      <alignment horizontal="center"/>
    </xf>
    <xf numFmtId="19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93" fontId="0" fillId="0" borderId="0" xfId="0" applyNumberFormat="1" applyBorder="1" applyAlignment="1">
      <alignment horizontal="center"/>
    </xf>
    <xf numFmtId="19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22" applyFont="1" applyBorder="1" applyAlignment="1">
      <alignment horizontal="center"/>
    </xf>
    <xf numFmtId="0" fontId="0" fillId="0" borderId="0" xfId="0" applyFill="1" applyAlignment="1">
      <alignment/>
    </xf>
    <xf numFmtId="10" fontId="0" fillId="0" borderId="0" xfId="0" applyNumberFormat="1" applyAlignment="1">
      <alignment/>
    </xf>
    <xf numFmtId="0" fontId="5" fillId="0" borderId="0" xfId="0" applyFont="1" applyAlignment="1">
      <alignment/>
    </xf>
    <xf numFmtId="0" fontId="0" fillId="0" borderId="0" xfId="0" applyAlignment="1">
      <alignment/>
    </xf>
    <xf numFmtId="0" fontId="0" fillId="0" borderId="0" xfId="0" applyFill="1" applyAlignment="1">
      <alignment/>
    </xf>
    <xf numFmtId="0" fontId="1" fillId="0" borderId="0" xfId="0" applyFont="1" applyAlignment="1">
      <alignment/>
    </xf>
    <xf numFmtId="0" fontId="3" fillId="0" borderId="0" xfId="0" applyFont="1" applyAlignment="1">
      <alignment/>
    </xf>
    <xf numFmtId="0" fontId="17" fillId="3" borderId="12" xfId="0" applyFont="1" applyFill="1" applyBorder="1" applyAlignment="1">
      <alignment horizontal="left"/>
    </xf>
    <xf numFmtId="0" fontId="18" fillId="3" borderId="13" xfId="0" applyFont="1" applyFill="1" applyBorder="1" applyAlignment="1">
      <alignment/>
    </xf>
    <xf numFmtId="0" fontId="5" fillId="0" borderId="0" xfId="0" applyFont="1" applyFill="1" applyAlignment="1">
      <alignment wrapText="1"/>
    </xf>
    <xf numFmtId="0" fontId="18" fillId="3" borderId="14" xfId="0" applyFont="1" applyFill="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6" xfId="0" applyFont="1" applyBorder="1" applyAlignment="1">
      <alignment/>
    </xf>
    <xf numFmtId="0" fontId="0" fillId="0" borderId="1"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208"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81" fontId="21" fillId="0" borderId="0" xfId="17" applyNumberFormat="1" applyFont="1" applyAlignment="1">
      <alignment/>
    </xf>
    <xf numFmtId="0" fontId="2" fillId="0" borderId="0" xfId="0" applyFont="1" applyAlignment="1">
      <alignment/>
    </xf>
    <xf numFmtId="208" fontId="20" fillId="0" borderId="0" xfId="17" applyNumberFormat="1" applyFont="1" applyFill="1" applyBorder="1" applyAlignment="1">
      <alignment horizontal="center"/>
    </xf>
    <xf numFmtId="0" fontId="5" fillId="0" borderId="0" xfId="0" applyFont="1" applyFill="1" applyAlignment="1">
      <alignment horizontal="left" wrapText="1"/>
    </xf>
    <xf numFmtId="172"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181" fontId="0" fillId="0" borderId="0" xfId="17" applyNumberFormat="1" applyFont="1" applyAlignment="1">
      <alignment/>
    </xf>
    <xf numFmtId="0" fontId="20" fillId="0" borderId="2" xfId="0" applyFont="1" applyFill="1" applyBorder="1" applyAlignment="1">
      <alignment/>
    </xf>
    <xf numFmtId="0" fontId="33" fillId="0" borderId="3" xfId="0" applyFont="1" applyFill="1" applyBorder="1" applyAlignment="1">
      <alignment/>
    </xf>
    <xf numFmtId="0" fontId="20" fillId="0" borderId="3" xfId="0" applyFont="1" applyFill="1" applyBorder="1" applyAlignment="1">
      <alignment/>
    </xf>
    <xf numFmtId="191" fontId="20" fillId="0" borderId="3" xfId="17" applyNumberFormat="1" applyFont="1" applyFill="1" applyBorder="1" applyAlignment="1">
      <alignment/>
    </xf>
    <xf numFmtId="0" fontId="20" fillId="0" borderId="4" xfId="0" applyFont="1" applyFill="1" applyBorder="1" applyAlignment="1">
      <alignment/>
    </xf>
    <xf numFmtId="181" fontId="20" fillId="0" borderId="3" xfId="17" applyNumberFormat="1" applyFont="1" applyBorder="1" applyAlignment="1">
      <alignment/>
    </xf>
    <xf numFmtId="0" fontId="20" fillId="0" borderId="10" xfId="0" applyFont="1" applyFill="1" applyBorder="1" applyAlignment="1">
      <alignment/>
    </xf>
    <xf numFmtId="0" fontId="33" fillId="0" borderId="0" xfId="0" applyFont="1" applyFill="1" applyBorder="1" applyAlignment="1">
      <alignment/>
    </xf>
    <xf numFmtId="0" fontId="20" fillId="0" borderId="0" xfId="0" applyFont="1" applyFill="1" applyBorder="1" applyAlignment="1">
      <alignment/>
    </xf>
    <xf numFmtId="191" fontId="20" fillId="0" borderId="0" xfId="17" applyNumberFormat="1" applyFont="1" applyFill="1" applyBorder="1" applyAlignment="1">
      <alignment/>
    </xf>
    <xf numFmtId="0" fontId="20" fillId="0" borderId="11" xfId="0" applyFont="1" applyFill="1" applyBorder="1" applyAlignment="1">
      <alignment/>
    </xf>
    <xf numFmtId="181" fontId="20" fillId="0" borderId="0" xfId="17" applyNumberFormat="1" applyFont="1" applyBorder="1" applyAlignment="1">
      <alignment/>
    </xf>
    <xf numFmtId="0" fontId="20" fillId="0" borderId="0" xfId="0" applyFont="1" applyFill="1" applyBorder="1" applyAlignment="1">
      <alignment horizontal="center"/>
    </xf>
    <xf numFmtId="0" fontId="34" fillId="0" borderId="0" xfId="0" applyFont="1" applyFill="1" applyBorder="1" applyAlignment="1">
      <alignment horizontal="center"/>
    </xf>
    <xf numFmtId="191" fontId="34" fillId="0" borderId="0" xfId="17" applyNumberFormat="1" applyFont="1" applyFill="1" applyBorder="1" applyAlignment="1">
      <alignment horizontal="center"/>
    </xf>
    <xf numFmtId="0" fontId="34" fillId="0" borderId="0" xfId="0" applyFont="1" applyFill="1" applyBorder="1" applyAlignment="1">
      <alignment/>
    </xf>
    <xf numFmtId="0" fontId="34" fillId="0" borderId="6" xfId="0" applyFont="1" applyFill="1" applyBorder="1" applyAlignment="1">
      <alignment horizontal="left"/>
    </xf>
    <xf numFmtId="0" fontId="34" fillId="0" borderId="6" xfId="0" applyFont="1" applyFill="1" applyBorder="1" applyAlignment="1">
      <alignment horizontal="center"/>
    </xf>
    <xf numFmtId="191" fontId="34" fillId="0" borderId="6" xfId="17" applyNumberFormat="1" applyFont="1" applyFill="1" applyBorder="1" applyAlignment="1">
      <alignment horizontal="center"/>
    </xf>
    <xf numFmtId="0" fontId="34" fillId="0" borderId="10" xfId="0" applyFont="1" applyFill="1" applyBorder="1" applyAlignment="1">
      <alignment/>
    </xf>
    <xf numFmtId="1" fontId="34" fillId="0" borderId="0" xfId="0" applyNumberFormat="1" applyFont="1" applyFill="1" applyBorder="1" applyAlignment="1">
      <alignment horizontal="right"/>
    </xf>
    <xf numFmtId="176" fontId="34" fillId="0" borderId="0" xfId="0" applyNumberFormat="1" applyFont="1" applyFill="1" applyBorder="1" applyAlignment="1">
      <alignment horizontal="right"/>
    </xf>
    <xf numFmtId="0" fontId="34" fillId="0" borderId="0" xfId="0" applyFont="1" applyFill="1" applyBorder="1" applyAlignment="1">
      <alignment horizontal="right"/>
    </xf>
    <xf numFmtId="0" fontId="34" fillId="0" borderId="11" xfId="0" applyFont="1" applyFill="1" applyBorder="1" applyAlignment="1">
      <alignment/>
    </xf>
    <xf numFmtId="0" fontId="13" fillId="0" borderId="11" xfId="0" applyFont="1" applyFill="1" applyBorder="1" applyAlignment="1">
      <alignment/>
    </xf>
    <xf numFmtId="0" fontId="36" fillId="0" borderId="0" xfId="0" applyFont="1" applyFill="1" applyAlignment="1">
      <alignment/>
    </xf>
    <xf numFmtId="176"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191" fontId="20" fillId="0" borderId="0" xfId="18" applyNumberFormat="1" applyFont="1" applyFill="1" applyBorder="1" applyAlignment="1">
      <alignment horizontal="right"/>
    </xf>
    <xf numFmtId="1" fontId="34" fillId="0" borderId="15" xfId="0" applyNumberFormat="1" applyFont="1" applyFill="1" applyBorder="1" applyAlignment="1">
      <alignment horizontal="right"/>
    </xf>
    <xf numFmtId="0" fontId="37" fillId="0" borderId="0" xfId="0" applyFont="1" applyFill="1" applyAlignment="1">
      <alignment/>
    </xf>
    <xf numFmtId="191" fontId="34" fillId="0" borderId="0" xfId="0" applyNumberFormat="1" applyFont="1" applyFill="1" applyBorder="1" applyAlignment="1">
      <alignment horizontal="right"/>
    </xf>
    <xf numFmtId="181" fontId="34" fillId="0" borderId="0" xfId="17" applyNumberFormat="1" applyFont="1" applyFill="1" applyBorder="1" applyAlignment="1">
      <alignment horizontal="right"/>
    </xf>
    <xf numFmtId="176" fontId="34" fillId="0" borderId="15" xfId="23" applyNumberFormat="1" applyFont="1" applyFill="1" applyBorder="1" applyAlignment="1">
      <alignment horizontal="right"/>
    </xf>
    <xf numFmtId="0" fontId="20" fillId="0" borderId="5" xfId="0" applyFont="1" applyFill="1" applyBorder="1" applyAlignment="1">
      <alignment/>
    </xf>
    <xf numFmtId="0" fontId="20" fillId="0" borderId="6" xfId="0" applyFont="1" applyFill="1" applyBorder="1" applyAlignment="1">
      <alignment/>
    </xf>
    <xf numFmtId="0" fontId="20" fillId="0" borderId="1" xfId="0" applyFont="1" applyFill="1" applyBorder="1" applyAlignment="1">
      <alignment/>
    </xf>
    <xf numFmtId="0" fontId="20" fillId="0" borderId="6" xfId="0" applyFont="1" applyFill="1" applyBorder="1" applyAlignment="1">
      <alignment horizontal="right"/>
    </xf>
    <xf numFmtId="176" fontId="20" fillId="0" borderId="6" xfId="0" applyNumberFormat="1" applyFont="1" applyFill="1" applyBorder="1" applyAlignment="1">
      <alignment horizontal="right"/>
    </xf>
    <xf numFmtId="3" fontId="20" fillId="0" borderId="6" xfId="0" applyNumberFormat="1" applyFont="1" applyFill="1" applyBorder="1" applyAlignment="1">
      <alignment horizontal="right"/>
    </xf>
    <xf numFmtId="191" fontId="20" fillId="0" borderId="6" xfId="17" applyNumberFormat="1" applyFont="1" applyFill="1" applyBorder="1" applyAlignment="1">
      <alignment horizontal="right"/>
    </xf>
    <xf numFmtId="0" fontId="0" fillId="0" borderId="1" xfId="0" applyFont="1" applyFill="1" applyBorder="1" applyAlignment="1">
      <alignment/>
    </xf>
    <xf numFmtId="191" fontId="20" fillId="0" borderId="0" xfId="17" applyNumberFormat="1" applyFont="1" applyFill="1" applyBorder="1" applyAlignment="1">
      <alignment horizontal="right"/>
    </xf>
    <xf numFmtId="181" fontId="20" fillId="0" borderId="0" xfId="17" applyNumberFormat="1" applyFont="1" applyFill="1" applyBorder="1" applyAlignment="1">
      <alignment horizontal="center"/>
    </xf>
    <xf numFmtId="0" fontId="20" fillId="0" borderId="0" xfId="0" applyFont="1" applyFill="1" applyAlignment="1">
      <alignment/>
    </xf>
    <xf numFmtId="191" fontId="20" fillId="0" borderId="0" xfId="17" applyNumberFormat="1" applyFont="1" applyFill="1" applyAlignment="1">
      <alignment/>
    </xf>
    <xf numFmtId="0" fontId="20" fillId="0" borderId="0" xfId="0" applyFont="1" applyFill="1" applyAlignment="1">
      <alignment horizontal="center"/>
    </xf>
    <xf numFmtId="176" fontId="20" fillId="0" borderId="0" xfId="0" applyNumberFormat="1" applyFont="1" applyFill="1" applyAlignment="1">
      <alignment/>
    </xf>
    <xf numFmtId="3" fontId="20" fillId="0" borderId="0" xfId="0" applyNumberFormat="1" applyFont="1" applyFill="1" applyAlignment="1">
      <alignment/>
    </xf>
    <xf numFmtId="0" fontId="37" fillId="0" borderId="0" xfId="0" applyFont="1" applyAlignment="1">
      <alignment/>
    </xf>
    <xf numFmtId="181" fontId="37" fillId="0" borderId="0" xfId="17" applyNumberFormat="1" applyFont="1" applyAlignment="1">
      <alignment/>
    </xf>
    <xf numFmtId="0" fontId="34" fillId="0" borderId="0" xfId="0" applyFont="1" applyFill="1" applyAlignment="1">
      <alignment/>
    </xf>
    <xf numFmtId="181" fontId="20" fillId="0" borderId="0" xfId="17" applyNumberFormat="1" applyFont="1" applyFill="1" applyAlignment="1">
      <alignment horizontal="center"/>
    </xf>
    <xf numFmtId="181" fontId="20" fillId="0" borderId="3" xfId="17" applyNumberFormat="1" applyFont="1" applyFill="1" applyBorder="1" applyAlignment="1">
      <alignment/>
    </xf>
    <xf numFmtId="181" fontId="20" fillId="0" borderId="0" xfId="17" applyNumberFormat="1" applyFont="1" applyFill="1" applyBorder="1" applyAlignment="1">
      <alignment/>
    </xf>
    <xf numFmtId="181" fontId="34" fillId="0" borderId="0" xfId="17" applyNumberFormat="1" applyFont="1" applyFill="1" applyBorder="1" applyAlignment="1">
      <alignment horizontal="center"/>
    </xf>
    <xf numFmtId="181" fontId="34" fillId="0" borderId="6" xfId="17" applyNumberFormat="1" applyFont="1" applyFill="1" applyBorder="1" applyAlignment="1">
      <alignment horizontal="center"/>
    </xf>
    <xf numFmtId="0" fontId="21" fillId="0" borderId="0" xfId="0" applyFont="1" applyFill="1" applyAlignment="1">
      <alignment horizontal="left"/>
    </xf>
    <xf numFmtId="0" fontId="21" fillId="0" borderId="0" xfId="0" applyFont="1" applyAlignment="1">
      <alignment horizontal="left"/>
    </xf>
    <xf numFmtId="0" fontId="0" fillId="0" borderId="11" xfId="0" applyFont="1" applyFill="1" applyBorder="1" applyAlignment="1">
      <alignment horizontal="center"/>
    </xf>
    <xf numFmtId="0" fontId="20" fillId="0" borderId="0" xfId="0" applyFont="1" applyFill="1" applyAlignment="1">
      <alignment/>
    </xf>
    <xf numFmtId="191" fontId="0" fillId="0" borderId="0" xfId="17" applyNumberFormat="1" applyFont="1" applyFill="1" applyBorder="1" applyAlignment="1">
      <alignment/>
    </xf>
    <xf numFmtId="181" fontId="0" fillId="0" borderId="0" xfId="17" applyNumberFormat="1" applyFont="1" applyFill="1" applyBorder="1" applyAlignment="1">
      <alignment horizontal="center"/>
    </xf>
    <xf numFmtId="181" fontId="1" fillId="0" borderId="0" xfId="17" applyNumberFormat="1" applyFont="1" applyFill="1" applyBorder="1" applyAlignment="1">
      <alignment horizontal="center"/>
    </xf>
    <xf numFmtId="191" fontId="0" fillId="0" borderId="0" xfId="17" applyNumberFormat="1" applyFont="1" applyFill="1" applyAlignment="1">
      <alignment/>
    </xf>
    <xf numFmtId="0" fontId="0" fillId="0" borderId="0" xfId="0" applyFont="1" applyFill="1" applyAlignment="1">
      <alignment horizontal="center"/>
    </xf>
    <xf numFmtId="191" fontId="34" fillId="0" borderId="0" xfId="0" applyNumberFormat="1" applyFont="1" applyBorder="1" applyAlignment="1">
      <alignment horizontal="right"/>
    </xf>
    <xf numFmtId="0" fontId="21" fillId="0" borderId="0" xfId="0" applyFont="1" applyBorder="1" applyAlignment="1">
      <alignment/>
    </xf>
    <xf numFmtId="0" fontId="10" fillId="0" borderId="0" xfId="0" applyFont="1" applyFill="1" applyBorder="1" applyAlignment="1">
      <alignment/>
    </xf>
    <xf numFmtId="0" fontId="10" fillId="0" borderId="0" xfId="0" applyFont="1" applyAlignment="1">
      <alignment/>
    </xf>
    <xf numFmtId="0" fontId="5" fillId="0" borderId="0" xfId="0" applyFont="1" applyFill="1" applyAlignment="1">
      <alignment/>
    </xf>
    <xf numFmtId="173" fontId="5" fillId="0" borderId="0" xfId="0" applyNumberFormat="1" applyFont="1" applyAlignment="1">
      <alignment/>
    </xf>
    <xf numFmtId="173" fontId="5" fillId="0" borderId="0" xfId="0" applyNumberFormat="1" applyFont="1" applyFill="1" applyAlignment="1">
      <alignment/>
    </xf>
    <xf numFmtId="0" fontId="4" fillId="0" borderId="0" xfId="0" applyFont="1" applyAlignment="1">
      <alignment/>
    </xf>
    <xf numFmtId="0" fontId="5" fillId="0" borderId="0" xfId="0" applyFont="1" applyBorder="1" applyAlignment="1">
      <alignment/>
    </xf>
    <xf numFmtId="173" fontId="5" fillId="0" borderId="1" xfId="23" applyNumberFormat="1" applyFont="1" applyFill="1" applyBorder="1" applyAlignment="1">
      <alignment horizontal="right"/>
    </xf>
    <xf numFmtId="174" fontId="0" fillId="0" borderId="0" xfId="0" applyNumberFormat="1" applyFill="1" applyBorder="1" applyAlignment="1">
      <alignment/>
    </xf>
    <xf numFmtId="173" fontId="0" fillId="0" borderId="0" xfId="0" applyNumberFormat="1" applyFill="1" applyBorder="1" applyAlignment="1">
      <alignment/>
    </xf>
    <xf numFmtId="175" fontId="0" fillId="0" borderId="0" xfId="0" applyNumberFormat="1" applyFill="1" applyBorder="1" applyAlignment="1">
      <alignment/>
    </xf>
    <xf numFmtId="174" fontId="5" fillId="0" borderId="0" xfId="0" applyNumberFormat="1" applyFont="1" applyFill="1" applyBorder="1" applyAlignment="1">
      <alignment/>
    </xf>
    <xf numFmtId="174" fontId="5" fillId="0" borderId="5" xfId="0" applyNumberFormat="1" applyFont="1" applyFill="1" applyBorder="1" applyAlignment="1">
      <alignment/>
    </xf>
    <xf numFmtId="173" fontId="5" fillId="0" borderId="1" xfId="0" applyNumberFormat="1" applyFont="1" applyFill="1" applyBorder="1" applyAlignment="1">
      <alignment/>
    </xf>
    <xf numFmtId="174" fontId="5" fillId="0" borderId="8" xfId="0" applyNumberFormat="1" applyFont="1" applyFill="1" applyBorder="1" applyAlignment="1">
      <alignment/>
    </xf>
    <xf numFmtId="174" fontId="5" fillId="0" borderId="4" xfId="15" applyNumberFormat="1" applyFont="1" applyFill="1" applyBorder="1" applyAlignment="1">
      <alignment/>
    </xf>
    <xf numFmtId="174" fontId="5" fillId="0" borderId="6" xfId="15" applyNumberFormat="1" applyFont="1" applyFill="1" applyBorder="1" applyAlignment="1">
      <alignment/>
    </xf>
    <xf numFmtId="174" fontId="5" fillId="0" borderId="1" xfId="15" applyNumberFormat="1" applyFont="1" applyFill="1" applyBorder="1" applyAlignment="1">
      <alignment/>
    </xf>
    <xf numFmtId="174" fontId="5" fillId="0" borderId="8" xfId="15" applyNumberFormat="1" applyFont="1" applyFill="1" applyBorder="1" applyAlignment="1">
      <alignment/>
    </xf>
    <xf numFmtId="37" fontId="5" fillId="0" borderId="9" xfId="15" applyNumberFormat="1" applyFont="1" applyFill="1" applyBorder="1" applyAlignment="1">
      <alignment/>
    </xf>
    <xf numFmtId="182" fontId="5" fillId="0" borderId="0" xfId="0" applyNumberFormat="1" applyFont="1" applyFill="1" applyBorder="1" applyAlignment="1">
      <alignment horizontal="right"/>
    </xf>
    <xf numFmtId="173" fontId="39" fillId="0" borderId="0" xfId="23" applyNumberFormat="1" applyFont="1" applyFill="1" applyBorder="1" applyAlignment="1">
      <alignment horizontal="right"/>
    </xf>
    <xf numFmtId="0" fontId="5" fillId="0" borderId="10" xfId="0" applyFont="1" applyBorder="1" applyAlignment="1">
      <alignment/>
    </xf>
    <xf numFmtId="0" fontId="5" fillId="0" borderId="4" xfId="0" applyFont="1" applyBorder="1" applyAlignment="1">
      <alignment/>
    </xf>
    <xf numFmtId="0" fontId="5" fillId="0" borderId="11" xfId="0" applyFont="1" applyBorder="1" applyAlignment="1">
      <alignment/>
    </xf>
    <xf numFmtId="174" fontId="5" fillId="0" borderId="0" xfId="0" applyNumberFormat="1" applyFont="1" applyAlignment="1">
      <alignment/>
    </xf>
    <xf numFmtId="174" fontId="5" fillId="0" borderId="11" xfId="0" applyNumberFormat="1" applyFont="1" applyBorder="1" applyAlignment="1">
      <alignment/>
    </xf>
    <xf numFmtId="174" fontId="5" fillId="0" borderId="12" xfId="15" applyNumberFormat="1" applyFont="1" applyFill="1" applyBorder="1" applyAlignment="1">
      <alignment/>
    </xf>
    <xf numFmtId="173" fontId="5" fillId="0" borderId="14" xfId="23" applyNumberFormat="1" applyFont="1" applyFill="1" applyBorder="1" applyAlignment="1">
      <alignment horizontal="right"/>
    </xf>
    <xf numFmtId="37" fontId="5" fillId="0" borderId="16" xfId="15" applyNumberFormat="1" applyFont="1" applyFill="1" applyBorder="1" applyAlignment="1">
      <alignment/>
    </xf>
    <xf numFmtId="174" fontId="5" fillId="0" borderId="12" xfId="0" applyNumberFormat="1" applyFont="1" applyBorder="1" applyAlignment="1">
      <alignment/>
    </xf>
    <xf numFmtId="174" fontId="5" fillId="0" borderId="13" xfId="0" applyNumberFormat="1" applyFont="1" applyBorder="1" applyAlignment="1">
      <alignment/>
    </xf>
    <xf numFmtId="174" fontId="5" fillId="0" borderId="14" xfId="0" applyNumberFormat="1" applyFont="1" applyBorder="1" applyAlignment="1">
      <alignment/>
    </xf>
    <xf numFmtId="37" fontId="5" fillId="0" borderId="10" xfId="15" applyNumberFormat="1" applyFont="1" applyFill="1" applyBorder="1" applyAlignment="1">
      <alignment/>
    </xf>
    <xf numFmtId="174" fontId="5" fillId="0" borderId="10" xfId="0" applyNumberFormat="1" applyFont="1" applyBorder="1" applyAlignment="1">
      <alignment/>
    </xf>
    <xf numFmtId="37" fontId="5" fillId="0" borderId="9" xfId="0" applyNumberFormat="1" applyFont="1" applyFill="1" applyBorder="1" applyAlignment="1">
      <alignment/>
    </xf>
    <xf numFmtId="174" fontId="5" fillId="0" borderId="9" xfId="0" applyNumberFormat="1" applyFont="1" applyBorder="1" applyAlignment="1">
      <alignment/>
    </xf>
    <xf numFmtId="37" fontId="5" fillId="0" borderId="12" xfId="15" applyNumberFormat="1" applyFont="1" applyFill="1" applyBorder="1" applyAlignment="1">
      <alignment/>
    </xf>
    <xf numFmtId="37" fontId="5" fillId="0" borderId="9" xfId="0" applyNumberFormat="1" applyFont="1" applyBorder="1" applyAlignment="1">
      <alignment/>
    </xf>
    <xf numFmtId="37" fontId="5" fillId="0" borderId="0" xfId="0" applyNumberFormat="1" applyFont="1" applyAlignment="1">
      <alignment/>
    </xf>
    <xf numFmtId="37" fontId="5" fillId="0" borderId="17" xfId="15" applyNumberFormat="1" applyFont="1" applyFill="1" applyBorder="1" applyAlignment="1">
      <alignment/>
    </xf>
    <xf numFmtId="173" fontId="5" fillId="0" borderId="18" xfId="23" applyNumberFormat="1" applyFont="1" applyFill="1" applyBorder="1" applyAlignment="1">
      <alignment horizontal="right"/>
    </xf>
    <xf numFmtId="37" fontId="5" fillId="0" borderId="19" xfId="15" applyNumberFormat="1" applyFont="1" applyFill="1" applyBorder="1" applyAlignment="1">
      <alignment/>
    </xf>
    <xf numFmtId="174" fontId="5" fillId="0" borderId="15" xfId="0" applyNumberFormat="1" applyFont="1" applyBorder="1" applyAlignment="1">
      <alignment/>
    </xf>
    <xf numFmtId="174" fontId="5" fillId="0" borderId="18" xfId="0" applyNumberFormat="1" applyFont="1" applyBorder="1" applyAlignment="1">
      <alignment/>
    </xf>
    <xf numFmtId="175" fontId="5" fillId="0" borderId="0" xfId="0" applyNumberFormat="1" applyFont="1" applyBorder="1" applyAlignment="1">
      <alignment/>
    </xf>
    <xf numFmtId="173" fontId="5" fillId="0" borderId="0" xfId="0" applyNumberFormat="1" applyFont="1" applyBorder="1" applyAlignment="1">
      <alignment/>
    </xf>
    <xf numFmtId="173" fontId="5" fillId="0" borderId="0" xfId="15" applyNumberFormat="1" applyFont="1" applyFill="1" applyBorder="1" applyAlignment="1">
      <alignment/>
    </xf>
    <xf numFmtId="180" fontId="5" fillId="0" borderId="0" xfId="15"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175" fontId="5" fillId="0" borderId="0" xfId="23" applyNumberFormat="1" applyFont="1" applyFill="1" applyBorder="1" applyAlignment="1">
      <alignment/>
    </xf>
    <xf numFmtId="173" fontId="7" fillId="0" borderId="0" xfId="0" applyNumberFormat="1" applyFont="1" applyBorder="1" applyAlignment="1">
      <alignment/>
    </xf>
    <xf numFmtId="0" fontId="5" fillId="0" borderId="7" xfId="0" applyFont="1" applyBorder="1" applyAlignment="1">
      <alignment/>
    </xf>
    <xf numFmtId="0" fontId="5" fillId="0" borderId="3" xfId="0" applyFont="1" applyBorder="1" applyAlignment="1">
      <alignment/>
    </xf>
    <xf numFmtId="0" fontId="5" fillId="0" borderId="2" xfId="0" applyFont="1" applyBorder="1" applyAlignment="1">
      <alignment/>
    </xf>
    <xf numFmtId="0" fontId="5" fillId="0" borderId="0" xfId="0" applyFont="1" applyFill="1" applyBorder="1" applyAlignment="1">
      <alignment horizontal="center"/>
    </xf>
    <xf numFmtId="37" fontId="5" fillId="0" borderId="8" xfId="0" applyNumberFormat="1" applyFont="1" applyBorder="1" applyAlignment="1">
      <alignment/>
    </xf>
    <xf numFmtId="0" fontId="5" fillId="0" borderId="9" xfId="0" applyFont="1" applyFill="1" applyBorder="1" applyAlignment="1">
      <alignment/>
    </xf>
    <xf numFmtId="0" fontId="5" fillId="0" borderId="11" xfId="0" applyFont="1" applyBorder="1" applyAlignment="1">
      <alignment horizontal="left" indent="1"/>
    </xf>
    <xf numFmtId="37" fontId="5" fillId="0" borderId="9" xfId="15" applyNumberFormat="1" applyFont="1" applyFill="1" applyBorder="1" applyAlignment="1">
      <alignment horizontal="right"/>
    </xf>
    <xf numFmtId="37" fontId="5" fillId="0" borderId="16" xfId="15" applyNumberFormat="1" applyFont="1" applyFill="1" applyBorder="1" applyAlignment="1">
      <alignment horizontal="right"/>
    </xf>
    <xf numFmtId="0" fontId="5" fillId="0" borderId="9" xfId="0" applyFont="1" applyBorder="1" applyAlignment="1">
      <alignment horizontal="right"/>
    </xf>
    <xf numFmtId="174" fontId="5" fillId="0" borderId="9" xfId="0" applyNumberFormat="1" applyFont="1" applyBorder="1" applyAlignment="1">
      <alignment horizontal="right"/>
    </xf>
    <xf numFmtId="37" fontId="5" fillId="0" borderId="9" xfId="0" applyNumberFormat="1" applyFont="1" applyFill="1" applyBorder="1" applyAlignment="1">
      <alignment horizontal="right"/>
    </xf>
    <xf numFmtId="37" fontId="5" fillId="0" borderId="8" xfId="15" applyNumberFormat="1" applyFont="1" applyFill="1" applyBorder="1" applyAlignment="1">
      <alignment/>
    </xf>
    <xf numFmtId="37" fontId="5" fillId="0" borderId="8" xfId="15" applyNumberFormat="1" applyFont="1" applyFill="1" applyBorder="1" applyAlignment="1">
      <alignment horizontal="right"/>
    </xf>
    <xf numFmtId="182" fontId="5" fillId="0" borderId="0" xfId="0" applyNumberFormat="1" applyFont="1" applyAlignment="1">
      <alignment/>
    </xf>
    <xf numFmtId="37" fontId="5" fillId="0" borderId="19" xfId="15" applyNumberFormat="1" applyFont="1" applyFill="1" applyBorder="1" applyAlignment="1">
      <alignment horizontal="right"/>
    </xf>
    <xf numFmtId="0" fontId="13" fillId="0" borderId="0" xfId="0" applyFont="1" applyBorder="1" applyAlignment="1">
      <alignment/>
    </xf>
    <xf numFmtId="37" fontId="5" fillId="0" borderId="5" xfId="15" applyNumberFormat="1" applyFont="1" applyFill="1" applyBorder="1" applyAlignment="1">
      <alignment/>
    </xf>
    <xf numFmtId="37" fontId="5" fillId="0" borderId="0" xfId="15" applyNumberFormat="1" applyFont="1" applyFill="1" applyBorder="1" applyAlignment="1">
      <alignment/>
    </xf>
    <xf numFmtId="174" fontId="5" fillId="0" borderId="0" xfId="0" applyNumberFormat="1" applyFont="1" applyBorder="1" applyAlignment="1">
      <alignment/>
    </xf>
    <xf numFmtId="174" fontId="5" fillId="0" borderId="0" xfId="0" applyNumberFormat="1" applyFont="1" applyBorder="1" applyAlignment="1">
      <alignment horizontal="right"/>
    </xf>
    <xf numFmtId="174" fontId="5" fillId="0" borderId="10" xfId="0" applyNumberFormat="1" applyFont="1" applyBorder="1" applyAlignment="1">
      <alignment horizontal="right"/>
    </xf>
    <xf numFmtId="37" fontId="5" fillId="0" borderId="11" xfId="15" applyNumberFormat="1" applyFont="1" applyFill="1" applyBorder="1" applyAlignment="1">
      <alignment/>
    </xf>
    <xf numFmtId="174" fontId="5" fillId="0" borderId="11" xfId="0" applyNumberFormat="1" applyFont="1" applyBorder="1" applyAlignment="1">
      <alignment horizontal="right"/>
    </xf>
    <xf numFmtId="37" fontId="5" fillId="0" borderId="6" xfId="15" applyNumberFormat="1" applyFont="1" applyFill="1" applyBorder="1" applyAlignment="1">
      <alignment/>
    </xf>
    <xf numFmtId="37" fontId="5" fillId="0" borderId="1" xfId="15" applyNumberFormat="1" applyFont="1" applyFill="1" applyBorder="1" applyAlignment="1">
      <alignment/>
    </xf>
    <xf numFmtId="37" fontId="5" fillId="0" borderId="13" xfId="15" applyNumberFormat="1" applyFont="1" applyFill="1" applyBorder="1" applyAlignment="1">
      <alignment/>
    </xf>
    <xf numFmtId="37" fontId="5" fillId="0" borderId="14" xfId="15" applyNumberFormat="1" applyFont="1" applyFill="1" applyBorder="1" applyAlignment="1">
      <alignment/>
    </xf>
    <xf numFmtId="37" fontId="5" fillId="0" borderId="15" xfId="15" applyNumberFormat="1" applyFont="1" applyFill="1" applyBorder="1" applyAlignment="1">
      <alignment/>
    </xf>
    <xf numFmtId="37" fontId="5" fillId="0" borderId="18" xfId="15" applyNumberFormat="1" applyFont="1" applyFill="1" applyBorder="1" applyAlignment="1">
      <alignment/>
    </xf>
    <xf numFmtId="37" fontId="5" fillId="0" borderId="2" xfId="15" applyNumberFormat="1" applyFont="1" applyFill="1" applyBorder="1" applyAlignment="1">
      <alignment/>
    </xf>
    <xf numFmtId="37" fontId="5" fillId="0" borderId="4" xfId="15" applyNumberFormat="1" applyFont="1" applyFill="1" applyBorder="1" applyAlignment="1">
      <alignment/>
    </xf>
    <xf numFmtId="37" fontId="5" fillId="0" borderId="7" xfId="15" applyNumberFormat="1" applyFont="1" applyFill="1" applyBorder="1" applyAlignment="1">
      <alignment/>
    </xf>
    <xf numFmtId="172" fontId="5" fillId="0" borderId="0" xfId="0" applyNumberFormat="1" applyFont="1" applyAlignment="1">
      <alignment/>
    </xf>
    <xf numFmtId="182" fontId="5" fillId="0" borderId="0" xfId="23" applyNumberFormat="1" applyFont="1" applyFill="1" applyAlignment="1">
      <alignment/>
    </xf>
    <xf numFmtId="37" fontId="5" fillId="0" borderId="5" xfId="0" applyNumberFormat="1" applyFont="1" applyBorder="1" applyAlignment="1">
      <alignment/>
    </xf>
    <xf numFmtId="37" fontId="5" fillId="0" borderId="2" xfId="0" applyNumberFormat="1" applyFont="1" applyBorder="1" applyAlignment="1">
      <alignment/>
    </xf>
    <xf numFmtId="37" fontId="5" fillId="0" borderId="10" xfId="0" applyNumberFormat="1" applyFont="1" applyBorder="1" applyAlignment="1">
      <alignment/>
    </xf>
    <xf numFmtId="0" fontId="10" fillId="0" borderId="10" xfId="0" applyFont="1" applyFill="1" applyBorder="1" applyAlignment="1">
      <alignment horizontal="center"/>
    </xf>
    <xf numFmtId="0" fontId="10" fillId="0" borderId="11" xfId="0" applyFont="1" applyFill="1" applyBorder="1" applyAlignment="1">
      <alignment horizontal="center"/>
    </xf>
    <xf numFmtId="37" fontId="5" fillId="0" borderId="0" xfId="15" applyNumberFormat="1" applyFont="1" applyFill="1" applyBorder="1" applyAlignment="1">
      <alignment horizontal="right"/>
    </xf>
    <xf numFmtId="37" fontId="5" fillId="0" borderId="3" xfId="15" applyNumberFormat="1" applyFont="1" applyFill="1" applyBorder="1" applyAlignment="1">
      <alignment horizontal="right"/>
    </xf>
    <xf numFmtId="37" fontId="5" fillId="0" borderId="4" xfId="15" applyNumberFormat="1" applyFont="1" applyFill="1" applyBorder="1" applyAlignment="1">
      <alignment horizontal="right"/>
    </xf>
    <xf numFmtId="37" fontId="5" fillId="0" borderId="10" xfId="15" applyNumberFormat="1" applyFont="1" applyFill="1" applyBorder="1" applyAlignment="1">
      <alignment horizontal="right"/>
    </xf>
    <xf numFmtId="37" fontId="5" fillId="0" borderId="11" xfId="15" applyNumberFormat="1" applyFont="1" applyFill="1" applyBorder="1" applyAlignment="1">
      <alignment horizontal="right"/>
    </xf>
    <xf numFmtId="37" fontId="5" fillId="0" borderId="5" xfId="15" applyNumberFormat="1" applyFont="1" applyFill="1" applyBorder="1" applyAlignment="1">
      <alignment horizontal="right"/>
    </xf>
    <xf numFmtId="37" fontId="5" fillId="0" borderId="6" xfId="15" applyNumberFormat="1" applyFont="1" applyFill="1" applyBorder="1" applyAlignment="1">
      <alignment horizontal="right"/>
    </xf>
    <xf numFmtId="37" fontId="5" fillId="0" borderId="1" xfId="15" applyNumberFormat="1" applyFont="1" applyFill="1" applyBorder="1" applyAlignment="1">
      <alignment horizontal="right"/>
    </xf>
    <xf numFmtId="174" fontId="5" fillId="0" borderId="10" xfId="15" applyNumberFormat="1" applyFont="1" applyFill="1" applyBorder="1" applyAlignment="1">
      <alignment horizontal="right"/>
    </xf>
    <xf numFmtId="0" fontId="5" fillId="0" borderId="0" xfId="0" applyFont="1" applyBorder="1" applyAlignment="1">
      <alignment horizontal="right"/>
    </xf>
    <xf numFmtId="0" fontId="5" fillId="0" borderId="10" xfId="0" applyFont="1" applyBorder="1" applyAlignment="1">
      <alignment horizontal="right"/>
    </xf>
    <xf numFmtId="0" fontId="5" fillId="0" borderId="0" xfId="0" applyFont="1" applyAlignment="1">
      <alignment horizontal="right"/>
    </xf>
    <xf numFmtId="174" fontId="5" fillId="0" borderId="12" xfId="15" applyNumberFormat="1" applyFont="1" applyFill="1" applyBorder="1" applyAlignment="1">
      <alignment horizontal="right"/>
    </xf>
    <xf numFmtId="37" fontId="5" fillId="0" borderId="12" xfId="15" applyNumberFormat="1" applyFont="1" applyFill="1" applyBorder="1" applyAlignment="1">
      <alignment horizontal="right"/>
    </xf>
    <xf numFmtId="37" fontId="5" fillId="0" borderId="13" xfId="15" applyNumberFormat="1" applyFont="1" applyFill="1" applyBorder="1" applyAlignment="1">
      <alignment horizontal="right"/>
    </xf>
    <xf numFmtId="37" fontId="5" fillId="0" borderId="14" xfId="15" applyNumberFormat="1" applyFont="1" applyFill="1" applyBorder="1" applyAlignment="1">
      <alignment horizontal="right"/>
    </xf>
    <xf numFmtId="174" fontId="5" fillId="0" borderId="5" xfId="15" applyNumberFormat="1" applyFont="1" applyFill="1" applyBorder="1" applyAlignment="1">
      <alignment horizontal="right"/>
    </xf>
    <xf numFmtId="37" fontId="5" fillId="0" borderId="17" xfId="15" applyNumberFormat="1" applyFont="1" applyFill="1" applyBorder="1" applyAlignment="1">
      <alignment horizontal="right"/>
    </xf>
    <xf numFmtId="37" fontId="5" fillId="0" borderId="15" xfId="15" applyNumberFormat="1" applyFont="1" applyFill="1" applyBorder="1" applyAlignment="1">
      <alignment horizontal="right"/>
    </xf>
    <xf numFmtId="37" fontId="5" fillId="0" borderId="18" xfId="15" applyNumberFormat="1" applyFont="1" applyFill="1" applyBorder="1" applyAlignment="1">
      <alignment horizontal="right"/>
    </xf>
    <xf numFmtId="174" fontId="5" fillId="0" borderId="0" xfId="15" applyNumberFormat="1" applyFont="1" applyFill="1" applyBorder="1" applyAlignment="1">
      <alignment horizontal="right"/>
    </xf>
    <xf numFmtId="0" fontId="5" fillId="0" borderId="0" xfId="0" applyFont="1" applyFill="1" applyBorder="1" applyAlignment="1">
      <alignment horizontal="right"/>
    </xf>
    <xf numFmtId="0" fontId="10" fillId="0" borderId="0" xfId="0" applyFont="1" applyFill="1" applyBorder="1" applyAlignment="1">
      <alignment horizontal="right"/>
    </xf>
    <xf numFmtId="37" fontId="5" fillId="0" borderId="7" xfId="15" applyNumberFormat="1" applyFont="1" applyFill="1" applyBorder="1" applyAlignment="1">
      <alignment horizontal="right"/>
    </xf>
    <xf numFmtId="0" fontId="7" fillId="0" borderId="0" xfId="0" applyFont="1" applyAlignment="1">
      <alignment/>
    </xf>
    <xf numFmtId="0" fontId="10" fillId="0" borderId="9" xfId="0" applyFont="1" applyFill="1" applyBorder="1" applyAlignment="1">
      <alignment horizontal="center"/>
    </xf>
    <xf numFmtId="37" fontId="10" fillId="0" borderId="0" xfId="15" applyNumberFormat="1" applyFont="1" applyFill="1" applyBorder="1" applyAlignment="1">
      <alignment horizontal="right"/>
    </xf>
    <xf numFmtId="37" fontId="10" fillId="0" borderId="17" xfId="15" applyNumberFormat="1" applyFont="1" applyFill="1" applyBorder="1" applyAlignment="1">
      <alignment horizontal="right"/>
    </xf>
    <xf numFmtId="37" fontId="10" fillId="0" borderId="15" xfId="15" applyNumberFormat="1" applyFont="1" applyFill="1" applyBorder="1" applyAlignment="1">
      <alignment horizontal="right"/>
    </xf>
    <xf numFmtId="37" fontId="10" fillId="0" borderId="18" xfId="15" applyNumberFormat="1" applyFont="1" applyFill="1" applyBorder="1" applyAlignment="1">
      <alignment horizontal="right"/>
    </xf>
    <xf numFmtId="37" fontId="10" fillId="0" borderId="19" xfId="15" applyNumberFormat="1" applyFont="1" applyFill="1" applyBorder="1" applyAlignment="1">
      <alignment horizontal="right"/>
    </xf>
    <xf numFmtId="0" fontId="2" fillId="0" borderId="0" xfId="0" applyFont="1" applyFill="1" applyAlignment="1">
      <alignment horizontal="left"/>
    </xf>
    <xf numFmtId="0" fontId="4"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0" fillId="0" borderId="0" xfId="0" applyFill="1" applyAlignment="1">
      <alignment horizontal="left"/>
    </xf>
    <xf numFmtId="175" fontId="5" fillId="0" borderId="9" xfId="15" applyNumberFormat="1" applyFont="1" applyFill="1" applyBorder="1" applyAlignment="1">
      <alignment/>
    </xf>
    <xf numFmtId="174" fontId="5" fillId="0" borderId="0" xfId="0" applyNumberFormat="1" applyFont="1" applyFill="1" applyAlignment="1">
      <alignment/>
    </xf>
    <xf numFmtId="37" fontId="5" fillId="0" borderId="0" xfId="0" applyNumberFormat="1" applyFont="1" applyBorder="1" applyAlignment="1">
      <alignment horizontal="right"/>
    </xf>
    <xf numFmtId="174" fontId="5" fillId="0" borderId="9" xfId="15" applyNumberFormat="1" applyFont="1" applyFill="1" applyBorder="1" applyAlignment="1">
      <alignment horizontal="right"/>
    </xf>
    <xf numFmtId="37" fontId="5" fillId="0" borderId="9" xfId="0" applyNumberFormat="1" applyFont="1" applyBorder="1" applyAlignment="1">
      <alignment horizontal="right"/>
    </xf>
    <xf numFmtId="37" fontId="5" fillId="0" borderId="6" xfId="0" applyNumberFormat="1" applyFont="1" applyBorder="1" applyAlignment="1">
      <alignment horizontal="right"/>
    </xf>
    <xf numFmtId="0" fontId="13" fillId="0" borderId="0" xfId="0" applyFont="1" applyFill="1" applyAlignment="1">
      <alignment/>
    </xf>
    <xf numFmtId="0" fontId="10" fillId="0" borderId="7" xfId="0" applyFont="1" applyBorder="1" applyAlignment="1">
      <alignment horizontal="center"/>
    </xf>
    <xf numFmtId="172" fontId="10" fillId="0" borderId="0" xfId="0" applyNumberFormat="1" applyFont="1" applyAlignment="1">
      <alignment/>
    </xf>
    <xf numFmtId="174" fontId="5" fillId="0" borderId="7" xfId="0" applyNumberFormat="1" applyFont="1" applyBorder="1" applyAlignment="1">
      <alignment/>
    </xf>
    <xf numFmtId="189" fontId="5" fillId="0" borderId="0" xfId="0" applyNumberFormat="1" applyFont="1" applyFill="1" applyAlignment="1">
      <alignment/>
    </xf>
    <xf numFmtId="174" fontId="5" fillId="0" borderId="11" xfId="15" applyNumberFormat="1" applyFont="1" applyFill="1" applyBorder="1" applyAlignment="1">
      <alignment horizontal="right"/>
    </xf>
    <xf numFmtId="0" fontId="5" fillId="0" borderId="7" xfId="0" applyFont="1" applyFill="1" applyBorder="1" applyAlignment="1">
      <alignment/>
    </xf>
    <xf numFmtId="174" fontId="5" fillId="0" borderId="16" xfId="15" applyNumberFormat="1" applyFont="1" applyFill="1" applyBorder="1" applyAlignment="1">
      <alignment/>
    </xf>
    <xf numFmtId="174" fontId="5" fillId="0" borderId="19" xfId="15" applyNumberFormat="1" applyFont="1" applyFill="1" applyBorder="1" applyAlignment="1">
      <alignment/>
    </xf>
    <xf numFmtId="175" fontId="5" fillId="0" borderId="0" xfId="0" applyNumberFormat="1" applyFont="1" applyFill="1" applyAlignment="1">
      <alignment/>
    </xf>
    <xf numFmtId="173" fontId="5" fillId="0" borderId="0" xfId="23" applyNumberFormat="1" applyFont="1" applyFill="1" applyAlignment="1">
      <alignment/>
    </xf>
    <xf numFmtId="176" fontId="5" fillId="0" borderId="0" xfId="23" applyNumberFormat="1" applyFont="1" applyFill="1" applyAlignment="1">
      <alignment/>
    </xf>
    <xf numFmtId="174" fontId="5" fillId="0" borderId="7" xfId="15" applyNumberFormat="1" applyFont="1" applyFill="1" applyBorder="1" applyAlignment="1">
      <alignment/>
    </xf>
    <xf numFmtId="0" fontId="41" fillId="0" borderId="0" xfId="0" applyFont="1" applyAlignment="1">
      <alignment/>
    </xf>
    <xf numFmtId="181" fontId="5" fillId="0" borderId="7" xfId="15" applyNumberFormat="1" applyFont="1" applyFill="1" applyBorder="1" applyAlignment="1">
      <alignment/>
    </xf>
    <xf numFmtId="181" fontId="5" fillId="0" borderId="9" xfId="15" applyNumberFormat="1" applyFont="1" applyFill="1" applyBorder="1" applyAlignment="1">
      <alignment/>
    </xf>
    <xf numFmtId="174" fontId="42" fillId="0" borderId="0" xfId="15" applyNumberFormat="1" applyFont="1" applyFill="1" applyBorder="1" applyAlignment="1">
      <alignment/>
    </xf>
    <xf numFmtId="172" fontId="5" fillId="0" borderId="7" xfId="0" applyNumberFormat="1" applyFont="1" applyFill="1" applyBorder="1" applyAlignment="1">
      <alignment/>
    </xf>
    <xf numFmtId="172" fontId="5" fillId="0" borderId="9" xfId="0" applyNumberFormat="1" applyFont="1" applyFill="1" applyBorder="1" applyAlignment="1">
      <alignment/>
    </xf>
    <xf numFmtId="172" fontId="5" fillId="0" borderId="16" xfId="0" applyNumberFormat="1" applyFont="1" applyFill="1" applyBorder="1" applyAlignment="1">
      <alignment/>
    </xf>
    <xf numFmtId="172" fontId="5" fillId="0" borderId="19" xfId="0" applyNumberFormat="1" applyFont="1" applyFill="1" applyBorder="1" applyAlignment="1">
      <alignment/>
    </xf>
    <xf numFmtId="173" fontId="5" fillId="0" borderId="0" xfId="23" applyNumberFormat="1" applyFont="1" applyFill="1" applyAlignment="1">
      <alignment horizontal="right"/>
    </xf>
    <xf numFmtId="172" fontId="5" fillId="0" borderId="0" xfId="0" applyNumberFormat="1" applyFont="1" applyFill="1" applyAlignment="1">
      <alignment/>
    </xf>
    <xf numFmtId="174" fontId="5" fillId="0" borderId="7" xfId="0" applyNumberFormat="1" applyFont="1" applyFill="1" applyBorder="1" applyAlignment="1">
      <alignment/>
    </xf>
    <xf numFmtId="174" fontId="5" fillId="0" borderId="16" xfId="0" applyNumberFormat="1" applyFont="1" applyFill="1" applyBorder="1" applyAlignment="1">
      <alignment/>
    </xf>
    <xf numFmtId="174" fontId="5" fillId="0" borderId="19" xfId="0" applyNumberFormat="1" applyFont="1" applyFill="1" applyBorder="1" applyAlignment="1">
      <alignment/>
    </xf>
    <xf numFmtId="43" fontId="5" fillId="0" borderId="0" xfId="15" applyFont="1" applyAlignment="1">
      <alignment/>
    </xf>
    <xf numFmtId="174" fontId="5" fillId="0" borderId="19" xfId="15" applyNumberFormat="1" applyFont="1" applyFill="1" applyBorder="1" applyAlignment="1">
      <alignment horizontal="right"/>
    </xf>
    <xf numFmtId="173" fontId="5" fillId="0" borderId="0" xfId="23" applyNumberFormat="1" applyFont="1" applyAlignment="1">
      <alignment/>
    </xf>
    <xf numFmtId="174" fontId="10" fillId="0" borderId="19" xfId="15" applyNumberFormat="1" applyFont="1" applyFill="1" applyBorder="1" applyAlignment="1">
      <alignment/>
    </xf>
    <xf numFmtId="0" fontId="10" fillId="0" borderId="8" xfId="0" applyFont="1" applyBorder="1" applyAlignment="1">
      <alignment horizontal="center"/>
    </xf>
    <xf numFmtId="186" fontId="5" fillId="0" borderId="7" xfId="0" applyNumberFormat="1" applyFont="1" applyBorder="1" applyAlignment="1">
      <alignment/>
    </xf>
    <xf numFmtId="174" fontId="5" fillId="0" borderId="11" xfId="0" applyNumberFormat="1" applyFont="1" applyFill="1" applyBorder="1" applyAlignment="1">
      <alignment/>
    </xf>
    <xf numFmtId="174" fontId="10" fillId="0" borderId="19" xfId="0" applyNumberFormat="1" applyFont="1" applyBorder="1" applyAlignment="1">
      <alignment/>
    </xf>
    <xf numFmtId="37" fontId="0" fillId="0" borderId="0" xfId="0" applyNumberFormat="1" applyAlignment="1">
      <alignment/>
    </xf>
    <xf numFmtId="0" fontId="5" fillId="0" borderId="5" xfId="0" applyFont="1" applyBorder="1" applyAlignment="1">
      <alignment/>
    </xf>
    <xf numFmtId="173" fontId="5" fillId="0" borderId="1" xfId="23" applyNumberFormat="1" applyFont="1" applyFill="1" applyBorder="1" applyAlignment="1">
      <alignment horizontal="right"/>
    </xf>
    <xf numFmtId="37" fontId="5" fillId="0" borderId="10" xfId="0" applyNumberFormat="1" applyFont="1" applyBorder="1" applyAlignment="1">
      <alignment horizontal="right"/>
    </xf>
    <xf numFmtId="37" fontId="5" fillId="0" borderId="0" xfId="0" applyNumberFormat="1" applyFont="1" applyBorder="1" applyAlignment="1">
      <alignment/>
    </xf>
    <xf numFmtId="174" fontId="5" fillId="0" borderId="13" xfId="15" applyNumberFormat="1" applyFont="1" applyFill="1" applyBorder="1" applyAlignment="1">
      <alignment horizontal="right"/>
    </xf>
    <xf numFmtId="37" fontId="5" fillId="0" borderId="12" xfId="0" applyNumberFormat="1" applyFont="1" applyBorder="1" applyAlignment="1">
      <alignment/>
    </xf>
    <xf numFmtId="37" fontId="5" fillId="0" borderId="13" xfId="0" applyNumberFormat="1" applyFont="1" applyBorder="1" applyAlignment="1">
      <alignment/>
    </xf>
    <xf numFmtId="37" fontId="5" fillId="0" borderId="17" xfId="0" applyNumberFormat="1" applyFont="1" applyBorder="1" applyAlignment="1">
      <alignment/>
    </xf>
    <xf numFmtId="37" fontId="5" fillId="0" borderId="15" xfId="0" applyNumberFormat="1" applyFont="1" applyBorder="1" applyAlignment="1">
      <alignment/>
    </xf>
    <xf numFmtId="174" fontId="5" fillId="0" borderId="15" xfId="15" applyNumberFormat="1" applyFont="1" applyFill="1" applyBorder="1" applyAlignment="1">
      <alignment horizontal="right"/>
    </xf>
    <xf numFmtId="37" fontId="5" fillId="0" borderId="13" xfId="0" applyNumberFormat="1" applyFont="1" applyBorder="1" applyAlignment="1">
      <alignment horizontal="right"/>
    </xf>
    <xf numFmtId="174" fontId="5" fillId="0" borderId="6" xfId="15" applyNumberFormat="1" applyFont="1" applyFill="1" applyBorder="1" applyAlignment="1">
      <alignment horizontal="right"/>
    </xf>
    <xf numFmtId="37" fontId="5" fillId="0" borderId="15" xfId="0" applyNumberFormat="1" applyFont="1" applyBorder="1" applyAlignment="1">
      <alignment horizontal="right"/>
    </xf>
    <xf numFmtId="37" fontId="5" fillId="0" borderId="12" xfId="0" applyNumberFormat="1" applyFont="1" applyBorder="1" applyAlignment="1">
      <alignment horizontal="right"/>
    </xf>
    <xf numFmtId="37" fontId="5" fillId="0" borderId="17" xfId="0" applyNumberFormat="1" applyFont="1" applyBorder="1" applyAlignment="1">
      <alignment horizontal="right"/>
    </xf>
    <xf numFmtId="37" fontId="5" fillId="0" borderId="6" xfId="0" applyNumberFormat="1" applyFont="1" applyBorder="1" applyAlignment="1">
      <alignment/>
    </xf>
    <xf numFmtId="174" fontId="5" fillId="0" borderId="13" xfId="15" applyNumberFormat="1" applyFont="1" applyFill="1" applyBorder="1" applyAlignment="1">
      <alignment/>
    </xf>
    <xf numFmtId="174" fontId="5" fillId="0" borderId="15" xfId="15" applyNumberFormat="1" applyFont="1" applyFill="1" applyBorder="1" applyAlignment="1">
      <alignment/>
    </xf>
    <xf numFmtId="189" fontId="5" fillId="0" borderId="0" xfId="0" applyNumberFormat="1" applyFont="1" applyBorder="1" applyAlignment="1">
      <alignment/>
    </xf>
    <xf numFmtId="37" fontId="5" fillId="0" borderId="3" xfId="0" applyNumberFormat="1" applyFont="1" applyBorder="1" applyAlignment="1">
      <alignment/>
    </xf>
    <xf numFmtId="174" fontId="5" fillId="0" borderId="3" xfId="0" applyNumberFormat="1" applyFont="1" applyFill="1" applyBorder="1" applyAlignment="1">
      <alignment/>
    </xf>
    <xf numFmtId="173" fontId="5" fillId="0" borderId="4" xfId="0" applyNumberFormat="1" applyFont="1" applyFill="1" applyBorder="1" applyAlignment="1">
      <alignment/>
    </xf>
    <xf numFmtId="174" fontId="5" fillId="0" borderId="6" xfId="0" applyNumberFormat="1" applyFont="1" applyFill="1" applyBorder="1" applyAlignment="1">
      <alignment/>
    </xf>
    <xf numFmtId="37" fontId="5" fillId="0" borderId="3" xfId="15" applyNumberFormat="1" applyFont="1" applyFill="1" applyBorder="1" applyAlignment="1">
      <alignment/>
    </xf>
    <xf numFmtId="173" fontId="5" fillId="0" borderId="11" xfId="0" applyNumberFormat="1" applyFont="1" applyBorder="1" applyAlignment="1">
      <alignment/>
    </xf>
    <xf numFmtId="174" fontId="5" fillId="0" borderId="6" xfId="0" applyNumberFormat="1" applyFont="1" applyBorder="1" applyAlignment="1">
      <alignment/>
    </xf>
    <xf numFmtId="173" fontId="5" fillId="0" borderId="1" xfId="0" applyNumberFormat="1" applyFont="1" applyBorder="1" applyAlignment="1">
      <alignment/>
    </xf>
    <xf numFmtId="174" fontId="5" fillId="0" borderId="2" xfId="0" applyNumberFormat="1" applyFont="1" applyBorder="1" applyAlignment="1">
      <alignment/>
    </xf>
    <xf numFmtId="174" fontId="5" fillId="0" borderId="3" xfId="0" applyNumberFormat="1" applyFont="1" applyBorder="1" applyAlignment="1">
      <alignment/>
    </xf>
    <xf numFmtId="173" fontId="5" fillId="0" borderId="4" xfId="0" applyNumberFormat="1" applyFont="1" applyBorder="1" applyAlignment="1">
      <alignment/>
    </xf>
    <xf numFmtId="173" fontId="5" fillId="0" borderId="14" xfId="0" applyNumberFormat="1" applyFont="1" applyBorder="1" applyAlignment="1">
      <alignment/>
    </xf>
    <xf numFmtId="174" fontId="5" fillId="0" borderId="17" xfId="0" applyNumberFormat="1" applyFont="1" applyBorder="1" applyAlignment="1">
      <alignment/>
    </xf>
    <xf numFmtId="173" fontId="5" fillId="0" borderId="18" xfId="0" applyNumberFormat="1" applyFont="1" applyBorder="1" applyAlignment="1">
      <alignment/>
    </xf>
    <xf numFmtId="182" fontId="5" fillId="0" borderId="0" xfId="0" applyNumberFormat="1" applyFont="1" applyFill="1" applyBorder="1" applyAlignment="1">
      <alignment horizontal="right"/>
    </xf>
    <xf numFmtId="174" fontId="5" fillId="0" borderId="5" xfId="0" applyNumberFormat="1" applyFont="1" applyBorder="1" applyAlignment="1">
      <alignment/>
    </xf>
    <xf numFmtId="174" fontId="5" fillId="0" borderId="6" xfId="0" applyNumberFormat="1" applyFont="1" applyBorder="1" applyAlignment="1">
      <alignment/>
    </xf>
    <xf numFmtId="175" fontId="5" fillId="0" borderId="5" xfId="0" applyNumberFormat="1" applyFont="1" applyFill="1" applyBorder="1" applyAlignment="1">
      <alignment/>
    </xf>
    <xf numFmtId="175" fontId="5" fillId="0" borderId="6" xfId="0" applyNumberFormat="1" applyFont="1" applyFill="1" applyBorder="1" applyAlignment="1">
      <alignment/>
    </xf>
    <xf numFmtId="175" fontId="5" fillId="0" borderId="1" xfId="0" applyNumberFormat="1" applyFont="1" applyFill="1" applyBorder="1" applyAlignment="1">
      <alignment/>
    </xf>
    <xf numFmtId="0" fontId="5" fillId="0" borderId="0" xfId="0" applyFont="1" applyFill="1" applyBorder="1" applyAlignment="1">
      <alignment horizontal="center"/>
    </xf>
    <xf numFmtId="174" fontId="43" fillId="0" borderId="9" xfId="15" applyNumberFormat="1" applyFont="1" applyFill="1" applyBorder="1" applyAlignment="1">
      <alignment/>
    </xf>
    <xf numFmtId="174" fontId="44" fillId="0" borderId="9" xfId="15" applyNumberFormat="1" applyFont="1" applyFill="1" applyBorder="1" applyAlignment="1">
      <alignment/>
    </xf>
    <xf numFmtId="0" fontId="5" fillId="0" borderId="8" xfId="0" applyFont="1" applyFill="1" applyBorder="1" applyAlignment="1">
      <alignment/>
    </xf>
    <xf numFmtId="0" fontId="10" fillId="0" borderId="0" xfId="0" applyFont="1" applyFill="1" applyBorder="1" applyAlignment="1">
      <alignment horizontal="center"/>
    </xf>
    <xf numFmtId="0" fontId="5" fillId="0" borderId="7" xfId="0" applyFont="1" applyBorder="1" applyAlignment="1">
      <alignment/>
    </xf>
    <xf numFmtId="0" fontId="5" fillId="0" borderId="3" xfId="0" applyFont="1" applyBorder="1" applyAlignment="1">
      <alignment/>
    </xf>
    <xf numFmtId="0" fontId="5" fillId="0" borderId="2" xfId="0" applyFont="1" applyBorder="1" applyAlignment="1">
      <alignment/>
    </xf>
    <xf numFmtId="0" fontId="5" fillId="0" borderId="4" xfId="0" applyFont="1" applyBorder="1" applyAlignment="1">
      <alignment/>
    </xf>
    <xf numFmtId="0" fontId="10" fillId="0" borderId="7" xfId="0" applyFont="1" applyFill="1" applyBorder="1" applyAlignment="1">
      <alignment horizontal="center"/>
    </xf>
    <xf numFmtId="0" fontId="10" fillId="0" borderId="8" xfId="0" applyFont="1" applyFill="1" applyBorder="1" applyAlignment="1">
      <alignment horizontal="center"/>
    </xf>
    <xf numFmtId="0" fontId="10" fillId="0" borderId="6" xfId="0" applyFont="1" applyFill="1" applyBorder="1" applyAlignment="1">
      <alignment horizontal="center"/>
    </xf>
    <xf numFmtId="0" fontId="10" fillId="0" borderId="5" xfId="0" applyFont="1" applyFill="1" applyBorder="1" applyAlignment="1">
      <alignment horizontal="center"/>
    </xf>
    <xf numFmtId="0" fontId="10" fillId="0" borderId="1" xfId="0" applyFont="1" applyFill="1" applyBorder="1" applyAlignment="1">
      <alignment horizontal="center"/>
    </xf>
    <xf numFmtId="0" fontId="10" fillId="0" borderId="10" xfId="0" applyFont="1" applyFill="1" applyBorder="1" applyAlignment="1">
      <alignment horizontal="center"/>
    </xf>
    <xf numFmtId="0" fontId="5" fillId="0" borderId="7" xfId="0" applyFont="1" applyFill="1" applyBorder="1" applyAlignment="1">
      <alignment/>
    </xf>
    <xf numFmtId="174" fontId="5" fillId="0" borderId="10" xfId="0" applyNumberFormat="1" applyFont="1" applyFill="1" applyBorder="1" applyAlignment="1">
      <alignment/>
    </xf>
    <xf numFmtId="173" fontId="5" fillId="0" borderId="11" xfId="0" applyNumberFormat="1" applyFont="1" applyFill="1" applyBorder="1" applyAlignment="1">
      <alignment/>
    </xf>
    <xf numFmtId="174" fontId="5" fillId="0" borderId="9" xfId="0" applyNumberFormat="1"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180" fontId="5" fillId="0" borderId="11" xfId="0" applyNumberFormat="1" applyFont="1" applyFill="1" applyBorder="1" applyAlignment="1">
      <alignment horizontal="right"/>
    </xf>
    <xf numFmtId="175" fontId="5" fillId="0" borderId="11" xfId="0" applyNumberFormat="1" applyFont="1" applyFill="1" applyBorder="1" applyAlignment="1">
      <alignment horizontal="right"/>
    </xf>
    <xf numFmtId="173" fontId="5" fillId="0" borderId="10" xfId="23" applyNumberFormat="1" applyFont="1" applyFill="1" applyBorder="1" applyAlignment="1">
      <alignment horizontal="right"/>
    </xf>
    <xf numFmtId="0" fontId="5" fillId="0" borderId="0" xfId="0" applyFont="1" applyFill="1" applyBorder="1" applyAlignment="1">
      <alignment/>
    </xf>
    <xf numFmtId="0" fontId="10" fillId="0" borderId="0" xfId="0" applyFont="1" applyBorder="1" applyAlignment="1">
      <alignment/>
    </xf>
    <xf numFmtId="0" fontId="5" fillId="0" borderId="1" xfId="0" applyFont="1" applyBorder="1" applyAlignment="1">
      <alignment/>
    </xf>
    <xf numFmtId="37" fontId="5" fillId="0" borderId="11" xfId="0" applyNumberFormat="1" applyFont="1" applyBorder="1" applyAlignment="1">
      <alignment/>
    </xf>
    <xf numFmtId="37" fontId="5" fillId="0" borderId="0" xfId="23" applyNumberFormat="1" applyFont="1" applyFill="1" applyBorder="1" applyAlignment="1">
      <alignment/>
    </xf>
    <xf numFmtId="37" fontId="5" fillId="0" borderId="1" xfId="0" applyNumberFormat="1" applyFont="1" applyBorder="1" applyAlignment="1">
      <alignment/>
    </xf>
    <xf numFmtId="37" fontId="5" fillId="0" borderId="1" xfId="0" applyNumberFormat="1" applyFont="1" applyFill="1" applyBorder="1" applyAlignment="1">
      <alignment/>
    </xf>
    <xf numFmtId="37" fontId="5" fillId="0" borderId="8" xfId="0" applyNumberFormat="1" applyFont="1" applyFill="1" applyBorder="1" applyAlignment="1">
      <alignment/>
    </xf>
    <xf numFmtId="0" fontId="13" fillId="0" borderId="0" xfId="0" applyFont="1" applyFill="1" applyBorder="1" applyAlignment="1">
      <alignmen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91" fontId="0" fillId="0" borderId="0" xfId="18" applyNumberFormat="1" applyFont="1" applyFill="1" applyBorder="1" applyAlignment="1">
      <alignment horizontal="right"/>
    </xf>
    <xf numFmtId="1" fontId="13" fillId="0" borderId="15" xfId="0" applyNumberFormat="1" applyFont="1" applyFill="1" applyBorder="1" applyAlignment="1">
      <alignment horizontal="right"/>
    </xf>
    <xf numFmtId="176" fontId="13" fillId="0" borderId="15" xfId="23" applyNumberFormat="1" applyFont="1" applyFill="1" applyBorder="1" applyAlignment="1">
      <alignment horizontal="right"/>
    </xf>
    <xf numFmtId="191" fontId="13" fillId="0" borderId="0" xfId="0" applyNumberFormat="1" applyFont="1" applyFill="1" applyBorder="1" applyAlignment="1">
      <alignment horizontal="right"/>
    </xf>
    <xf numFmtId="181" fontId="13" fillId="0" borderId="0" xfId="17" applyNumberFormat="1" applyFont="1" applyFill="1" applyBorder="1" applyAlignment="1">
      <alignment horizontal="right"/>
    </xf>
    <xf numFmtId="37" fontId="0" fillId="0" borderId="0" xfId="0" applyNumberFormat="1" applyFill="1" applyBorder="1" applyAlignment="1">
      <alignment/>
    </xf>
    <xf numFmtId="175" fontId="5" fillId="0" borderId="10" xfId="0" applyNumberFormat="1" applyFont="1" applyFill="1" applyBorder="1" applyAlignment="1">
      <alignment horizontal="right"/>
    </xf>
    <xf numFmtId="174" fontId="5" fillId="0" borderId="10" xfId="0" applyNumberFormat="1" applyFont="1" applyFill="1" applyBorder="1" applyAlignment="1">
      <alignment horizontal="right"/>
    </xf>
    <xf numFmtId="177" fontId="5" fillId="0" borderId="11" xfId="23" applyNumberFormat="1" applyFont="1" applyFill="1" applyBorder="1" applyAlignment="1">
      <alignment horizontal="right"/>
    </xf>
    <xf numFmtId="0" fontId="5" fillId="0" borderId="10" xfId="0" applyFont="1" applyBorder="1" applyAlignment="1">
      <alignment/>
    </xf>
    <xf numFmtId="0" fontId="5" fillId="0" borderId="11" xfId="0" applyFont="1" applyBorder="1" applyAlignment="1">
      <alignment/>
    </xf>
    <xf numFmtId="2" fontId="5" fillId="0" borderId="11" xfId="0" applyNumberFormat="1" applyFont="1" applyBorder="1" applyAlignment="1">
      <alignment/>
    </xf>
    <xf numFmtId="177" fontId="5" fillId="0" borderId="11" xfId="0" applyNumberFormat="1" applyFont="1" applyFill="1" applyBorder="1" applyAlignment="1">
      <alignment/>
    </xf>
    <xf numFmtId="183" fontId="5" fillId="0" borderId="11" xfId="0" applyNumberFormat="1" applyFont="1" applyBorder="1" applyAlignment="1">
      <alignment/>
    </xf>
    <xf numFmtId="37" fontId="5" fillId="0" borderId="11" xfId="0" applyNumberFormat="1" applyFont="1" applyBorder="1" applyAlignment="1">
      <alignment/>
    </xf>
    <xf numFmtId="209" fontId="5" fillId="0" borderId="10" xfId="23" applyNumberFormat="1" applyFont="1" applyFill="1" applyBorder="1" applyAlignment="1">
      <alignment horizontal="right"/>
    </xf>
    <xf numFmtId="195" fontId="5" fillId="0" borderId="10" xfId="15" applyNumberFormat="1" applyFont="1" applyFill="1" applyBorder="1" applyAlignment="1">
      <alignment/>
    </xf>
    <xf numFmtId="195" fontId="5" fillId="0" borderId="0" xfId="15" applyNumberFormat="1" applyFont="1" applyFill="1" applyBorder="1" applyAlignment="1">
      <alignment/>
    </xf>
    <xf numFmtId="43" fontId="5" fillId="0" borderId="11" xfId="15" applyNumberFormat="1" applyFont="1" applyFill="1" applyBorder="1" applyAlignment="1">
      <alignment/>
    </xf>
    <xf numFmtId="179" fontId="5" fillId="0" borderId="11" xfId="15" applyNumberFormat="1" applyFont="1" applyFill="1" applyBorder="1" applyAlignment="1">
      <alignment/>
    </xf>
    <xf numFmtId="176" fontId="5" fillId="0" borderId="11" xfId="0" applyNumberFormat="1" applyFont="1" applyFill="1" applyBorder="1" applyAlignment="1">
      <alignment/>
    </xf>
    <xf numFmtId="37" fontId="5" fillId="0" borderId="10" xfId="0" applyNumberFormat="1" applyFont="1" applyFill="1" applyBorder="1" applyAlignment="1">
      <alignment/>
    </xf>
    <xf numFmtId="37" fontId="5" fillId="0" borderId="0" xfId="0" applyNumberFormat="1" applyFont="1" applyFill="1" applyBorder="1" applyAlignment="1">
      <alignment/>
    </xf>
    <xf numFmtId="209" fontId="5" fillId="0" borderId="10" xfId="0" applyNumberFormat="1" applyFont="1" applyFill="1" applyBorder="1" applyAlignment="1">
      <alignment/>
    </xf>
    <xf numFmtId="209" fontId="5" fillId="0" borderId="0" xfId="0" applyNumberFormat="1" applyFont="1" applyFill="1" applyBorder="1" applyAlignment="1">
      <alignment/>
    </xf>
    <xf numFmtId="173" fontId="5" fillId="0" borderId="10" xfId="23" applyNumberFormat="1" applyFont="1" applyFill="1" applyBorder="1" applyAlignment="1">
      <alignment horizontal="right"/>
    </xf>
    <xf numFmtId="176" fontId="5" fillId="0" borderId="0" xfId="23" applyNumberFormat="1" applyFont="1" applyFill="1" applyBorder="1" applyAlignment="1">
      <alignment horizontal="right"/>
    </xf>
    <xf numFmtId="37" fontId="5" fillId="0" borderId="11" xfId="0" applyNumberFormat="1" applyFont="1" applyFill="1" applyBorder="1" applyAlignment="1">
      <alignment/>
    </xf>
    <xf numFmtId="173" fontId="5" fillId="0" borderId="10" xfId="23" applyNumberFormat="1" applyFont="1" applyFill="1" applyBorder="1" applyAlignment="1">
      <alignment/>
    </xf>
    <xf numFmtId="37" fontId="5" fillId="0" borderId="11" xfId="23" applyNumberFormat="1" applyFont="1" applyFill="1" applyBorder="1" applyAlignment="1">
      <alignment/>
    </xf>
    <xf numFmtId="37" fontId="5" fillId="0" borderId="11" xfId="0" applyNumberFormat="1" applyFont="1" applyBorder="1" applyAlignment="1">
      <alignment horizontal="right"/>
    </xf>
    <xf numFmtId="176" fontId="5" fillId="0" borderId="1" xfId="0" applyNumberFormat="1" applyFont="1" applyBorder="1" applyAlignment="1">
      <alignment/>
    </xf>
    <xf numFmtId="37" fontId="5" fillId="0" borderId="10" xfId="0" applyNumberFormat="1" applyFont="1" applyFill="1" applyBorder="1" applyAlignment="1">
      <alignment/>
    </xf>
    <xf numFmtId="0" fontId="26"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176" fontId="34" fillId="0" borderId="15" xfId="0" applyNumberFormat="1" applyFont="1" applyFill="1" applyBorder="1" applyAlignment="1">
      <alignment horizontal="right"/>
    </xf>
    <xf numFmtId="0" fontId="20" fillId="0" borderId="6" xfId="0" applyFont="1" applyFill="1" applyBorder="1" applyAlignment="1">
      <alignment horizontal="center"/>
    </xf>
    <xf numFmtId="176" fontId="20" fillId="0" borderId="6" xfId="0" applyNumberFormat="1" applyFont="1" applyFill="1" applyBorder="1" applyAlignment="1">
      <alignment/>
    </xf>
    <xf numFmtId="3" fontId="20" fillId="0" borderId="6" xfId="0" applyNumberFormat="1" applyFont="1" applyFill="1" applyBorder="1" applyAlignment="1">
      <alignment/>
    </xf>
    <xf numFmtId="191" fontId="20" fillId="0" borderId="6" xfId="17" applyNumberFormat="1" applyFont="1" applyFill="1" applyBorder="1" applyAlignment="1">
      <alignment/>
    </xf>
    <xf numFmtId="3" fontId="20" fillId="0" borderId="0" xfId="0" applyNumberFormat="1" applyFont="1" applyFill="1" applyBorder="1" applyAlignment="1">
      <alignment/>
    </xf>
    <xf numFmtId="176" fontId="20" fillId="0" borderId="0" xfId="0" applyNumberFormat="1" applyFont="1" applyFill="1" applyBorder="1" applyAlignment="1">
      <alignment/>
    </xf>
    <xf numFmtId="0" fontId="38" fillId="0" borderId="0" xfId="0" applyFont="1" applyFill="1" applyAlignment="1">
      <alignment/>
    </xf>
    <xf numFmtId="191" fontId="34" fillId="0" borderId="15" xfId="0" applyNumberFormat="1" applyFont="1" applyFill="1" applyBorder="1" applyAlignment="1">
      <alignment horizontal="right"/>
    </xf>
    <xf numFmtId="174" fontId="5" fillId="0" borderId="6" xfId="15" applyNumberFormat="1" applyFont="1" applyFill="1" applyBorder="1" applyAlignment="1">
      <alignment/>
    </xf>
    <xf numFmtId="195" fontId="5" fillId="0" borderId="0" xfId="23" applyNumberFormat="1" applyFont="1" applyFill="1" applyBorder="1" applyAlignment="1">
      <alignment horizontal="right"/>
    </xf>
    <xf numFmtId="194" fontId="5" fillId="0" borderId="0" xfId="15" applyNumberFormat="1" applyFont="1" applyFill="1" applyBorder="1" applyAlignment="1">
      <alignment/>
    </xf>
    <xf numFmtId="37" fontId="0" fillId="0" borderId="0" xfId="0" applyNumberFormat="1" applyBorder="1" applyAlignment="1">
      <alignment/>
    </xf>
    <xf numFmtId="0" fontId="10" fillId="0" borderId="2" xfId="0" applyFont="1" applyFill="1" applyBorder="1" applyAlignment="1">
      <alignment horizontal="center"/>
    </xf>
    <xf numFmtId="0" fontId="15" fillId="0" borderId="0" xfId="0" applyFont="1" applyAlignment="1">
      <alignment horizontal="center"/>
    </xf>
    <xf numFmtId="173" fontId="5" fillId="0" borderId="20" xfId="23" applyNumberFormat="1" applyFont="1" applyFill="1" applyBorder="1" applyAlignment="1">
      <alignment horizontal="right"/>
    </xf>
    <xf numFmtId="37" fontId="5" fillId="0" borderId="21" xfId="0" applyNumberFormat="1" applyFont="1" applyBorder="1" applyAlignment="1">
      <alignment/>
    </xf>
    <xf numFmtId="37" fontId="5" fillId="0" borderId="22" xfId="0" applyNumberFormat="1" applyFont="1" applyBorder="1" applyAlignment="1">
      <alignment/>
    </xf>
    <xf numFmtId="174" fontId="5" fillId="0" borderId="22" xfId="15" applyNumberFormat="1" applyFont="1" applyFill="1" applyBorder="1" applyAlignment="1">
      <alignment/>
    </xf>
    <xf numFmtId="174" fontId="5" fillId="0" borderId="2" xfId="0" applyNumberFormat="1" applyFont="1" applyFill="1" applyBorder="1" applyAlignment="1">
      <alignment/>
    </xf>
    <xf numFmtId="174" fontId="5" fillId="0" borderId="21" xfId="15" applyNumberFormat="1" applyFont="1" applyFill="1" applyBorder="1" applyAlignment="1">
      <alignment/>
    </xf>
    <xf numFmtId="37" fontId="5" fillId="0" borderId="0" xfId="23" applyNumberFormat="1" applyFont="1" applyFill="1" applyBorder="1" applyAlignment="1">
      <alignment horizontal="right"/>
    </xf>
    <xf numFmtId="37" fontId="5" fillId="0" borderId="0" xfId="0" applyNumberFormat="1" applyFont="1" applyFill="1" applyBorder="1" applyAlignment="1">
      <alignment/>
    </xf>
    <xf numFmtId="37" fontId="5" fillId="0" borderId="0" xfId="0" applyNumberFormat="1" applyFont="1" applyFill="1" applyBorder="1" applyAlignment="1">
      <alignment horizontal="right"/>
    </xf>
    <xf numFmtId="0" fontId="5" fillId="0" borderId="6" xfId="0" applyFont="1" applyBorder="1" applyAlignment="1">
      <alignment/>
    </xf>
    <xf numFmtId="0" fontId="10" fillId="0" borderId="2" xfId="0" applyFont="1" applyFill="1" applyBorder="1" applyAlignment="1">
      <alignment horizontal="center"/>
    </xf>
    <xf numFmtId="183" fontId="5" fillId="0" borderId="0" xfId="0" applyNumberFormat="1" applyFont="1" applyFill="1" applyBorder="1" applyAlignment="1">
      <alignment/>
    </xf>
    <xf numFmtId="174" fontId="5" fillId="0" borderId="5" xfId="0" applyNumberFormat="1" applyFont="1" applyBorder="1" applyAlignment="1">
      <alignment/>
    </xf>
    <xf numFmtId="174" fontId="5" fillId="0" borderId="1" xfId="0" applyNumberFormat="1" applyFont="1" applyBorder="1" applyAlignment="1">
      <alignment/>
    </xf>
    <xf numFmtId="174" fontId="5" fillId="0" borderId="5" xfId="15" applyNumberFormat="1" applyFont="1" applyFill="1" applyBorder="1" applyAlignment="1">
      <alignment/>
    </xf>
    <xf numFmtId="174" fontId="5" fillId="0" borderId="17" xfId="15" applyNumberFormat="1" applyFont="1" applyFill="1" applyBorder="1" applyAlignment="1">
      <alignment/>
    </xf>
    <xf numFmtId="37" fontId="5" fillId="0" borderId="13" xfId="23" applyNumberFormat="1" applyFont="1" applyFill="1" applyBorder="1" applyAlignment="1">
      <alignment horizontal="right"/>
    </xf>
    <xf numFmtId="37" fontId="5" fillId="0" borderId="15" xfId="23" applyNumberFormat="1" applyFont="1" applyFill="1" applyBorder="1" applyAlignment="1">
      <alignment horizontal="right"/>
    </xf>
    <xf numFmtId="37" fontId="5" fillId="0" borderId="22" xfId="15" applyNumberFormat="1" applyFont="1" applyFill="1" applyBorder="1" applyAlignment="1">
      <alignment/>
    </xf>
    <xf numFmtId="37" fontId="5" fillId="0" borderId="20" xfId="15" applyNumberFormat="1" applyFont="1" applyFill="1" applyBorder="1" applyAlignment="1">
      <alignment/>
    </xf>
    <xf numFmtId="37" fontId="5" fillId="0" borderId="6" xfId="0" applyNumberFormat="1" applyFont="1" applyFill="1" applyBorder="1" applyAlignment="1">
      <alignment/>
    </xf>
    <xf numFmtId="37" fontId="5" fillId="0" borderId="6" xfId="23" applyNumberFormat="1" applyFont="1" applyFill="1" applyBorder="1" applyAlignment="1">
      <alignment horizontal="right"/>
    </xf>
    <xf numFmtId="37" fontId="5" fillId="0" borderId="3" xfId="23" applyNumberFormat="1" applyFont="1" applyFill="1" applyBorder="1" applyAlignment="1">
      <alignment horizontal="right"/>
    </xf>
    <xf numFmtId="0" fontId="0" fillId="0" borderId="3" xfId="0" applyFill="1" applyBorder="1" applyAlignment="1">
      <alignment/>
    </xf>
    <xf numFmtId="37" fontId="5" fillId="0" borderId="22" xfId="15" applyNumberFormat="1" applyFont="1" applyFill="1" applyBorder="1" applyAlignment="1">
      <alignment horizontal="right"/>
    </xf>
    <xf numFmtId="0" fontId="0" fillId="0" borderId="4" xfId="0" applyFill="1" applyBorder="1" applyAlignment="1">
      <alignment/>
    </xf>
    <xf numFmtId="0" fontId="5" fillId="0" borderId="11" xfId="0" applyFont="1" applyFill="1" applyBorder="1" applyAlignment="1">
      <alignment/>
    </xf>
    <xf numFmtId="37" fontId="5" fillId="0" borderId="20" xfId="15" applyNumberFormat="1" applyFont="1" applyFill="1" applyBorder="1" applyAlignment="1">
      <alignment horizontal="right"/>
    </xf>
    <xf numFmtId="0" fontId="5" fillId="0" borderId="6" xfId="0" applyFont="1" applyFill="1" applyBorder="1" applyAlignment="1">
      <alignment/>
    </xf>
    <xf numFmtId="39" fontId="5" fillId="0" borderId="0" xfId="0" applyNumberFormat="1" applyFont="1" applyFill="1" applyBorder="1" applyAlignment="1">
      <alignment/>
    </xf>
    <xf numFmtId="2" fontId="5" fillId="0" borderId="10" xfId="0" applyNumberFormat="1" applyFont="1" applyFill="1" applyBorder="1" applyAlignment="1">
      <alignment/>
    </xf>
    <xf numFmtId="37" fontId="5" fillId="0" borderId="5" xfId="0" applyNumberFormat="1" applyFont="1" applyFill="1" applyBorder="1" applyAlignment="1">
      <alignment/>
    </xf>
    <xf numFmtId="174" fontId="5" fillId="0" borderId="5" xfId="0" applyNumberFormat="1" applyFont="1" applyBorder="1" applyAlignment="1">
      <alignment horizontal="right"/>
    </xf>
    <xf numFmtId="174" fontId="5" fillId="0" borderId="8" xfId="15" applyNumberFormat="1" applyFont="1" applyFill="1" applyBorder="1" applyAlignment="1">
      <alignment horizontal="right"/>
    </xf>
    <xf numFmtId="174" fontId="5" fillId="0" borderId="1" xfId="15" applyNumberFormat="1" applyFont="1" applyFill="1" applyBorder="1" applyAlignment="1">
      <alignment horizontal="right"/>
    </xf>
    <xf numFmtId="39" fontId="5" fillId="0" borderId="10" xfId="0" applyNumberFormat="1" applyFont="1" applyFill="1" applyBorder="1" applyAlignment="1">
      <alignment/>
    </xf>
    <xf numFmtId="183" fontId="5" fillId="0" borderId="10" xfId="0" applyNumberFormat="1" applyFont="1" applyFill="1" applyBorder="1" applyAlignment="1">
      <alignment/>
    </xf>
    <xf numFmtId="191" fontId="5" fillId="0" borderId="0" xfId="15" applyNumberFormat="1" applyFont="1" applyFill="1" applyBorder="1" applyAlignment="1">
      <alignment/>
    </xf>
    <xf numFmtId="0" fontId="5" fillId="0" borderId="9" xfId="15" applyNumberFormat="1" applyFont="1" applyFill="1" applyBorder="1" applyAlignment="1">
      <alignment/>
    </xf>
    <xf numFmtId="2" fontId="5" fillId="0" borderId="9" xfId="15" applyNumberFormat="1" applyFont="1" applyFill="1" applyBorder="1" applyAlignment="1">
      <alignment/>
    </xf>
    <xf numFmtId="0" fontId="0" fillId="0" borderId="6" xfId="0" applyFill="1" applyBorder="1" applyAlignment="1">
      <alignment/>
    </xf>
    <xf numFmtId="173" fontId="5" fillId="0" borderId="10" xfId="0" applyNumberFormat="1" applyFont="1" applyFill="1" applyBorder="1" applyAlignment="1">
      <alignment/>
    </xf>
    <xf numFmtId="174" fontId="5" fillId="0" borderId="16" xfId="0" applyNumberFormat="1" applyFont="1" applyBorder="1" applyAlignment="1">
      <alignment/>
    </xf>
    <xf numFmtId="174" fontId="5" fillId="0" borderId="8" xfId="0" applyNumberFormat="1" applyFont="1" applyBorder="1" applyAlignment="1">
      <alignment/>
    </xf>
    <xf numFmtId="174" fontId="5" fillId="0" borderId="19" xfId="0" applyNumberFormat="1" applyFont="1" applyBorder="1" applyAlignment="1">
      <alignment/>
    </xf>
    <xf numFmtId="37" fontId="5" fillId="0" borderId="3" xfId="0" applyNumberFormat="1" applyFont="1" applyFill="1" applyBorder="1" applyAlignment="1">
      <alignment/>
    </xf>
    <xf numFmtId="0" fontId="5" fillId="0" borderId="9" xfId="0" applyFont="1" applyBorder="1" applyAlignment="1">
      <alignment/>
    </xf>
    <xf numFmtId="0" fontId="10" fillId="0" borderId="9" xfId="0" applyFont="1" applyFill="1" applyBorder="1" applyAlignment="1">
      <alignment horizontal="center"/>
    </xf>
    <xf numFmtId="37" fontId="5" fillId="0" borderId="9" xfId="23" applyNumberFormat="1" applyFont="1" applyFill="1" applyBorder="1" applyAlignment="1">
      <alignment/>
    </xf>
    <xf numFmtId="177" fontId="5" fillId="0" borderId="9" xfId="0" applyNumberFormat="1" applyFont="1" applyFill="1" applyBorder="1" applyAlignment="1">
      <alignment/>
    </xf>
    <xf numFmtId="177" fontId="5" fillId="0" borderId="9" xfId="23" applyNumberFormat="1" applyFont="1" applyFill="1" applyBorder="1" applyAlignment="1">
      <alignment horizontal="right"/>
    </xf>
    <xf numFmtId="37" fontId="5" fillId="0" borderId="10" xfId="23" applyNumberFormat="1" applyFont="1" applyFill="1" applyBorder="1" applyAlignment="1">
      <alignment/>
    </xf>
    <xf numFmtId="37" fontId="5" fillId="0" borderId="10" xfId="23" applyNumberFormat="1" applyFont="1" applyFill="1" applyBorder="1" applyAlignment="1">
      <alignment horizontal="right"/>
    </xf>
    <xf numFmtId="37" fontId="5" fillId="0" borderId="10" xfId="0" applyNumberFormat="1" applyFont="1" applyFill="1" applyBorder="1" applyAlignment="1">
      <alignment horizontal="right"/>
    </xf>
    <xf numFmtId="3" fontId="34" fillId="0" borderId="0" xfId="0" applyNumberFormat="1" applyFont="1" applyFill="1" applyBorder="1" applyAlignment="1">
      <alignment horizontal="right"/>
    </xf>
    <xf numFmtId="191" fontId="34" fillId="0" borderId="0" xfId="18" applyNumberFormat="1" applyFont="1" applyFill="1" applyBorder="1" applyAlignment="1">
      <alignment horizontal="right"/>
    </xf>
    <xf numFmtId="1" fontId="20" fillId="0" borderId="0" xfId="0" applyNumberFormat="1" applyFont="1" applyFill="1" applyBorder="1" applyAlignment="1">
      <alignment horizontal="right"/>
    </xf>
    <xf numFmtId="0" fontId="13" fillId="0" borderId="0" xfId="0" applyFont="1" applyFill="1" applyAlignment="1">
      <alignment/>
    </xf>
    <xf numFmtId="176" fontId="0" fillId="0" borderId="0" xfId="23" applyNumberFormat="1" applyFont="1" applyFill="1" applyAlignment="1">
      <alignment/>
    </xf>
    <xf numFmtId="3" fontId="0" fillId="0" borderId="0" xfId="0" applyNumberFormat="1" applyFill="1" applyAlignment="1">
      <alignment/>
    </xf>
    <xf numFmtId="176" fontId="0" fillId="0" borderId="6" xfId="23" applyNumberFormat="1" applyFont="1" applyFill="1" applyBorder="1" applyAlignment="1">
      <alignment/>
    </xf>
    <xf numFmtId="3" fontId="0" fillId="0" borderId="0" xfId="15" applyNumberFormat="1" applyFont="1" applyFill="1" applyAlignment="1">
      <alignment/>
    </xf>
    <xf numFmtId="3" fontId="13" fillId="0" borderId="0" xfId="0" applyNumberFormat="1" applyFont="1" applyFill="1" applyAlignment="1">
      <alignment/>
    </xf>
    <xf numFmtId="37" fontId="5" fillId="0" borderId="12" xfId="23" applyNumberFormat="1" applyFont="1" applyFill="1" applyBorder="1" applyAlignment="1">
      <alignment horizontal="right"/>
    </xf>
    <xf numFmtId="37" fontId="5" fillId="0" borderId="5" xfId="23" applyNumberFormat="1" applyFont="1" applyFill="1" applyBorder="1" applyAlignment="1">
      <alignment horizontal="right"/>
    </xf>
    <xf numFmtId="37" fontId="5" fillId="0" borderId="2" xfId="23" applyNumberFormat="1" applyFont="1" applyFill="1" applyBorder="1" applyAlignment="1">
      <alignment horizontal="right"/>
    </xf>
    <xf numFmtId="37" fontId="5" fillId="0" borderId="21" xfId="15" applyNumberFormat="1" applyFont="1" applyFill="1" applyBorder="1" applyAlignment="1">
      <alignment/>
    </xf>
    <xf numFmtId="37" fontId="5" fillId="0" borderId="2" xfId="0" applyNumberFormat="1" applyFont="1" applyFill="1" applyBorder="1" applyAlignment="1">
      <alignment/>
    </xf>
    <xf numFmtId="37" fontId="5" fillId="0" borderId="17" xfId="23" applyNumberFormat="1" applyFont="1" applyFill="1" applyBorder="1" applyAlignment="1">
      <alignment horizontal="right"/>
    </xf>
    <xf numFmtId="37" fontId="10" fillId="0" borderId="22" xfId="15" applyNumberFormat="1" applyFont="1" applyFill="1" applyBorder="1" applyAlignment="1">
      <alignment horizontal="right"/>
    </xf>
    <xf numFmtId="175" fontId="5" fillId="0" borderId="6" xfId="15" applyNumberFormat="1" applyFont="1" applyFill="1" applyBorder="1" applyAlignment="1">
      <alignment/>
    </xf>
    <xf numFmtId="37" fontId="5" fillId="0" borderId="7" xfId="0" applyNumberFormat="1" applyFont="1" applyBorder="1" applyAlignment="1">
      <alignment/>
    </xf>
    <xf numFmtId="176" fontId="0" fillId="0" borderId="0" xfId="23"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176" fontId="13" fillId="0" borderId="0" xfId="23" applyNumberFormat="1" applyFont="1" applyFill="1" applyBorder="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173" fontId="5" fillId="0" borderId="9" xfId="0" applyNumberFormat="1" applyFont="1" applyFill="1" applyBorder="1" applyAlignment="1">
      <alignment horizontal="right"/>
    </xf>
    <xf numFmtId="0" fontId="0" fillId="0" borderId="3" xfId="0" applyBorder="1" applyAlignment="1">
      <alignment/>
    </xf>
    <xf numFmtId="0" fontId="0" fillId="0" borderId="4" xfId="0" applyBorder="1" applyAlignment="1">
      <alignment/>
    </xf>
    <xf numFmtId="0" fontId="10" fillId="0" borderId="2" xfId="0" applyFont="1" applyFill="1" applyBorder="1" applyAlignment="1">
      <alignment horizontal="center"/>
    </xf>
    <xf numFmtId="0" fontId="5" fillId="0" borderId="3" xfId="0" applyFont="1" applyBorder="1" applyAlignment="1">
      <alignment/>
    </xf>
    <xf numFmtId="0" fontId="5" fillId="0" borderId="4" xfId="0" applyFont="1" applyBorder="1" applyAlignment="1">
      <alignment/>
    </xf>
    <xf numFmtId="0" fontId="1" fillId="0" borderId="0" xfId="0" applyFont="1" applyFill="1" applyBorder="1" applyAlignment="1">
      <alignment horizontal="center"/>
    </xf>
    <xf numFmtId="0" fontId="1" fillId="0" borderId="11"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10" fillId="0" borderId="2" xfId="0" applyFont="1" applyFill="1" applyBorder="1" applyAlignment="1">
      <alignment horizontal="center"/>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0" borderId="10" xfId="0" applyFont="1" applyBorder="1" applyAlignment="1">
      <alignment horizontal="left" indent="2"/>
    </xf>
    <xf numFmtId="0" fontId="0" fillId="0" borderId="0" xfId="0" applyFont="1" applyAlignment="1">
      <alignment horizontal="left" indent="2"/>
    </xf>
    <xf numFmtId="0" fontId="0" fillId="0" borderId="10" xfId="0" applyFont="1" applyBorder="1" applyAlignment="1">
      <alignment horizontal="left" wrapText="1" indent="2"/>
    </xf>
    <xf numFmtId="0" fontId="0" fillId="0" borderId="0" xfId="0" applyAlignment="1">
      <alignment horizontal="left" indent="2"/>
    </xf>
    <xf numFmtId="0" fontId="0" fillId="0" borderId="10" xfId="0" applyFont="1" applyFill="1" applyBorder="1" applyAlignment="1">
      <alignment horizontal="left" wrapText="1" indent="2"/>
    </xf>
    <xf numFmtId="0" fontId="0" fillId="0" borderId="0" xfId="0" applyFont="1" applyFill="1" applyAlignment="1">
      <alignment horizontal="left" vertical="center" wrapText="1"/>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0" xfId="0" applyFill="1" applyAlignment="1">
      <alignment horizontal="left" wrapText="1"/>
    </xf>
    <xf numFmtId="0" fontId="0" fillId="0" borderId="5" xfId="0" applyFont="1" applyBorder="1" applyAlignment="1">
      <alignment horizontal="left" wrapText="1" indent="2"/>
    </xf>
    <xf numFmtId="0" fontId="0" fillId="0" borderId="6" xfId="0" applyBorder="1" applyAlignment="1">
      <alignment horizontal="left" indent="2"/>
    </xf>
    <xf numFmtId="0" fontId="10" fillId="0" borderId="4" xfId="0" applyFont="1" applyFill="1" applyBorder="1" applyAlignment="1">
      <alignment horizontal="center"/>
    </xf>
    <xf numFmtId="0" fontId="1" fillId="0" borderId="5" xfId="0" applyFont="1" applyFill="1" applyBorder="1" applyAlignment="1">
      <alignment horizontal="center"/>
    </xf>
    <xf numFmtId="0" fontId="1" fillId="0" borderId="1" xfId="0" applyFont="1" applyFill="1" applyBorder="1" applyAlignment="1">
      <alignment horizontal="center"/>
    </xf>
    <xf numFmtId="0" fontId="10" fillId="0" borderId="4" xfId="0" applyFont="1" applyFill="1" applyBorder="1" applyAlignment="1">
      <alignment horizontal="center"/>
    </xf>
    <xf numFmtId="0" fontId="5" fillId="0" borderId="5"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0" fillId="0" borderId="0" xfId="0" applyBorder="1" applyAlignment="1">
      <alignment/>
    </xf>
    <xf numFmtId="0" fontId="5" fillId="0" borderId="3" xfId="0" applyFont="1" applyBorder="1" applyAlignment="1">
      <alignment/>
    </xf>
    <xf numFmtId="0" fontId="5" fillId="0" borderId="4" xfId="0" applyFont="1" applyBorder="1" applyAlignment="1">
      <alignment/>
    </xf>
    <xf numFmtId="0" fontId="10" fillId="0" borderId="3" xfId="0" applyFont="1" applyFill="1" applyBorder="1" applyAlignment="1">
      <alignment horizontal="center"/>
    </xf>
    <xf numFmtId="0" fontId="1" fillId="0" borderId="6" xfId="0" applyFont="1" applyFill="1" applyBorder="1" applyAlignment="1">
      <alignment horizontal="center"/>
    </xf>
    <xf numFmtId="0" fontId="1" fillId="0" borderId="10" xfId="0" applyFont="1" applyFill="1" applyBorder="1" applyAlignment="1">
      <alignment horizontal="center"/>
    </xf>
    <xf numFmtId="0" fontId="7" fillId="0" borderId="0" xfId="0" applyFont="1" applyFill="1" applyAlignment="1">
      <alignment wrapText="1"/>
    </xf>
    <xf numFmtId="0" fontId="0" fillId="0" borderId="0" xfId="0" applyFill="1" applyBorder="1" applyAlignment="1">
      <alignment wrapText="1"/>
    </xf>
    <xf numFmtId="0" fontId="34" fillId="0" borderId="0" xfId="0" applyFont="1" applyFill="1" applyBorder="1" applyAlignment="1">
      <alignment horizontal="left"/>
    </xf>
    <xf numFmtId="0" fontId="20" fillId="0" borderId="0" xfId="0" applyFont="1" applyFill="1" applyAlignment="1">
      <alignment wrapText="1"/>
    </xf>
    <xf numFmtId="0" fontId="20" fillId="0" borderId="0" xfId="0" applyFont="1" applyAlignment="1">
      <alignment wrapText="1"/>
    </xf>
    <xf numFmtId="0" fontId="5" fillId="0" borderId="0" xfId="0" applyFont="1" applyFill="1" applyAlignment="1">
      <alignment wrapText="1"/>
    </xf>
    <xf numFmtId="0" fontId="20" fillId="0" borderId="0" xfId="0" applyFont="1" applyFill="1" applyAlignment="1">
      <alignment/>
    </xf>
    <xf numFmtId="0" fontId="20" fillId="0" borderId="0" xfId="0" applyFont="1" applyAlignment="1">
      <alignment/>
    </xf>
  </cellXfs>
  <cellStyles count="10">
    <cellStyle name="Normal" xfId="0"/>
    <cellStyle name="Comma" xfId="15"/>
    <cellStyle name="Comma [0]" xfId="16"/>
    <cellStyle name="Comma_FINAL Q408 Supp_June12" xfId="17"/>
    <cellStyle name="Comma_Revised Equity Offers - Leader of the Pack info" xfId="18"/>
    <cellStyle name="Currency" xfId="19"/>
    <cellStyle name="Currency [0]" xfId="20"/>
    <cellStyle name="Followed Hyperlink" xfId="21"/>
    <cellStyle name="Hyperlink" xfId="22"/>
    <cellStyle name="Percent" xfId="23"/>
  </cellStyles>
  <dxfs count="1">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6</xdr:row>
      <xdr:rowOff>0</xdr:rowOff>
    </xdr:from>
    <xdr:to>
      <xdr:col>6</xdr:col>
      <xdr:colOff>66675</xdr:colOff>
      <xdr:row>11</xdr:row>
      <xdr:rowOff>104775</xdr:rowOff>
    </xdr:to>
    <xdr:pic>
      <xdr:nvPicPr>
        <xdr:cNvPr id="1" name="Picture 2"/>
        <xdr:cNvPicPr preferRelativeResize="1">
          <a:picLocks noChangeAspect="1"/>
        </xdr:cNvPicPr>
      </xdr:nvPicPr>
      <xdr:blipFill>
        <a:blip r:embed="rId1"/>
        <a:stretch>
          <a:fillRect/>
        </a:stretch>
      </xdr:blipFill>
      <xdr:spPr>
        <a:xfrm>
          <a:off x="2314575" y="971550"/>
          <a:ext cx="207645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66675</xdr:rowOff>
    </xdr:from>
    <xdr:to>
      <xdr:col>1</xdr:col>
      <xdr:colOff>1171575</xdr:colOff>
      <xdr:row>3</xdr:row>
      <xdr:rowOff>95250</xdr:rowOff>
    </xdr:to>
    <xdr:pic>
      <xdr:nvPicPr>
        <xdr:cNvPr id="1" name="Picture 2"/>
        <xdr:cNvPicPr preferRelativeResize="1">
          <a:picLocks noChangeAspect="1"/>
        </xdr:cNvPicPr>
      </xdr:nvPicPr>
      <xdr:blipFill>
        <a:blip r:embed="rId1"/>
        <a:stretch>
          <a:fillRect/>
        </a:stretch>
      </xdr:blipFill>
      <xdr:spPr>
        <a:xfrm>
          <a:off x="104775" y="66675"/>
          <a:ext cx="1247775" cy="514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1</xdr:col>
      <xdr:colOff>1181100</xdr:colOff>
      <xdr:row>3</xdr:row>
      <xdr:rowOff>95250</xdr:rowOff>
    </xdr:to>
    <xdr:pic>
      <xdr:nvPicPr>
        <xdr:cNvPr id="1" name="Picture 4"/>
        <xdr:cNvPicPr preferRelativeResize="1">
          <a:picLocks noChangeAspect="1"/>
        </xdr:cNvPicPr>
      </xdr:nvPicPr>
      <xdr:blipFill>
        <a:blip r:embed="rId1"/>
        <a:stretch>
          <a:fillRect/>
        </a:stretch>
      </xdr:blipFill>
      <xdr:spPr>
        <a:xfrm>
          <a:off x="114300" y="66675"/>
          <a:ext cx="1247775" cy="514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123825</xdr:rowOff>
    </xdr:from>
    <xdr:to>
      <xdr:col>1</xdr:col>
      <xdr:colOff>1181100</xdr:colOff>
      <xdr:row>3</xdr:row>
      <xdr:rowOff>152400</xdr:rowOff>
    </xdr:to>
    <xdr:pic>
      <xdr:nvPicPr>
        <xdr:cNvPr id="1" name="Picture 3"/>
        <xdr:cNvPicPr preferRelativeResize="1">
          <a:picLocks noChangeAspect="1"/>
        </xdr:cNvPicPr>
      </xdr:nvPicPr>
      <xdr:blipFill>
        <a:blip r:embed="rId1"/>
        <a:stretch>
          <a:fillRect/>
        </a:stretch>
      </xdr:blipFill>
      <xdr:spPr>
        <a:xfrm>
          <a:off x="114300" y="123825"/>
          <a:ext cx="1247775" cy="514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85725</xdr:rowOff>
    </xdr:from>
    <xdr:to>
      <xdr:col>2</xdr:col>
      <xdr:colOff>1200150</xdr:colOff>
      <xdr:row>3</xdr:row>
      <xdr:rowOff>19050</xdr:rowOff>
    </xdr:to>
    <xdr:pic>
      <xdr:nvPicPr>
        <xdr:cNvPr id="1" name="Picture 2"/>
        <xdr:cNvPicPr preferRelativeResize="1">
          <a:picLocks noChangeAspect="1"/>
        </xdr:cNvPicPr>
      </xdr:nvPicPr>
      <xdr:blipFill>
        <a:blip r:embed="rId1"/>
        <a:stretch>
          <a:fillRect/>
        </a:stretch>
      </xdr:blipFill>
      <xdr:spPr>
        <a:xfrm>
          <a:off x="247650" y="85725"/>
          <a:ext cx="1247775" cy="514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85725</xdr:rowOff>
    </xdr:from>
    <xdr:to>
      <xdr:col>3</xdr:col>
      <xdr:colOff>1209675</xdr:colOff>
      <xdr:row>3</xdr:row>
      <xdr:rowOff>19050</xdr:rowOff>
    </xdr:to>
    <xdr:pic>
      <xdr:nvPicPr>
        <xdr:cNvPr id="1" name="Picture 3"/>
        <xdr:cNvPicPr preferRelativeResize="1">
          <a:picLocks noChangeAspect="1"/>
        </xdr:cNvPicPr>
      </xdr:nvPicPr>
      <xdr:blipFill>
        <a:blip r:embed="rId1"/>
        <a:stretch>
          <a:fillRect/>
        </a:stretch>
      </xdr:blipFill>
      <xdr:spPr>
        <a:xfrm>
          <a:off x="590550" y="85725"/>
          <a:ext cx="12477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838200</xdr:colOff>
      <xdr:row>3</xdr:row>
      <xdr:rowOff>0</xdr:rowOff>
    </xdr:to>
    <xdr:pic>
      <xdr:nvPicPr>
        <xdr:cNvPr id="1" name="Picture 2"/>
        <xdr:cNvPicPr preferRelativeResize="1">
          <a:picLocks noChangeAspect="1"/>
        </xdr:cNvPicPr>
      </xdr:nvPicPr>
      <xdr:blipFill>
        <a:blip r:embed="rId1"/>
        <a:stretch>
          <a:fillRect/>
        </a:stretch>
      </xdr:blipFill>
      <xdr:spPr>
        <a:xfrm>
          <a:off x="76200" y="57150"/>
          <a:ext cx="12477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85725</xdr:rowOff>
    </xdr:from>
    <xdr:to>
      <xdr:col>1</xdr:col>
      <xdr:colOff>1190625</xdr:colOff>
      <xdr:row>3</xdr:row>
      <xdr:rowOff>114300</xdr:rowOff>
    </xdr:to>
    <xdr:pic>
      <xdr:nvPicPr>
        <xdr:cNvPr id="1" name="Picture 11"/>
        <xdr:cNvPicPr preferRelativeResize="1">
          <a:picLocks noChangeAspect="1"/>
        </xdr:cNvPicPr>
      </xdr:nvPicPr>
      <xdr:blipFill>
        <a:blip r:embed="rId1"/>
        <a:stretch>
          <a:fillRect/>
        </a:stretch>
      </xdr:blipFill>
      <xdr:spPr>
        <a:xfrm>
          <a:off x="123825" y="85725"/>
          <a:ext cx="12477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1152525</xdr:colOff>
      <xdr:row>3</xdr:row>
      <xdr:rowOff>114300</xdr:rowOff>
    </xdr:to>
    <xdr:pic>
      <xdr:nvPicPr>
        <xdr:cNvPr id="1" name="Picture 593"/>
        <xdr:cNvPicPr preferRelativeResize="1">
          <a:picLocks noChangeAspect="1"/>
        </xdr:cNvPicPr>
      </xdr:nvPicPr>
      <xdr:blipFill>
        <a:blip r:embed="rId1"/>
        <a:stretch>
          <a:fillRect/>
        </a:stretch>
      </xdr:blipFill>
      <xdr:spPr>
        <a:xfrm>
          <a:off x="85725" y="85725"/>
          <a:ext cx="124777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1</xdr:col>
      <xdr:colOff>1171575</xdr:colOff>
      <xdr:row>3</xdr:row>
      <xdr:rowOff>114300</xdr:rowOff>
    </xdr:to>
    <xdr:pic>
      <xdr:nvPicPr>
        <xdr:cNvPr id="1" name="Picture 7"/>
        <xdr:cNvPicPr preferRelativeResize="1">
          <a:picLocks noChangeAspect="1"/>
        </xdr:cNvPicPr>
      </xdr:nvPicPr>
      <xdr:blipFill>
        <a:blip r:embed="rId1"/>
        <a:stretch>
          <a:fillRect/>
        </a:stretch>
      </xdr:blipFill>
      <xdr:spPr>
        <a:xfrm>
          <a:off x="104775" y="85725"/>
          <a:ext cx="124777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1171575</xdr:colOff>
      <xdr:row>3</xdr:row>
      <xdr:rowOff>142875</xdr:rowOff>
    </xdr:to>
    <xdr:pic>
      <xdr:nvPicPr>
        <xdr:cNvPr id="1" name="Picture 2"/>
        <xdr:cNvPicPr preferRelativeResize="1">
          <a:picLocks noChangeAspect="1"/>
        </xdr:cNvPicPr>
      </xdr:nvPicPr>
      <xdr:blipFill>
        <a:blip r:embed="rId1"/>
        <a:stretch>
          <a:fillRect/>
        </a:stretch>
      </xdr:blipFill>
      <xdr:spPr>
        <a:xfrm>
          <a:off x="104775" y="114300"/>
          <a:ext cx="124777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66675</xdr:rowOff>
    </xdr:from>
    <xdr:to>
      <xdr:col>1</xdr:col>
      <xdr:colOff>1171575</xdr:colOff>
      <xdr:row>3</xdr:row>
      <xdr:rowOff>95250</xdr:rowOff>
    </xdr:to>
    <xdr:pic>
      <xdr:nvPicPr>
        <xdr:cNvPr id="1" name="Picture 4"/>
        <xdr:cNvPicPr preferRelativeResize="1">
          <a:picLocks noChangeAspect="1"/>
        </xdr:cNvPicPr>
      </xdr:nvPicPr>
      <xdr:blipFill>
        <a:blip r:embed="rId1"/>
        <a:stretch>
          <a:fillRect/>
        </a:stretch>
      </xdr:blipFill>
      <xdr:spPr>
        <a:xfrm>
          <a:off x="104775" y="66675"/>
          <a:ext cx="1247775"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1</xdr:col>
      <xdr:colOff>1171575</xdr:colOff>
      <xdr:row>3</xdr:row>
      <xdr:rowOff>114300</xdr:rowOff>
    </xdr:to>
    <xdr:pic>
      <xdr:nvPicPr>
        <xdr:cNvPr id="1" name="Picture 3"/>
        <xdr:cNvPicPr preferRelativeResize="1">
          <a:picLocks noChangeAspect="1"/>
        </xdr:cNvPicPr>
      </xdr:nvPicPr>
      <xdr:blipFill>
        <a:blip r:embed="rId1"/>
        <a:stretch>
          <a:fillRect/>
        </a:stretch>
      </xdr:blipFill>
      <xdr:spPr>
        <a:xfrm>
          <a:off x="104775" y="85725"/>
          <a:ext cx="1247775" cy="51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104775</xdr:rowOff>
    </xdr:from>
    <xdr:to>
      <xdr:col>1</xdr:col>
      <xdr:colOff>1171575</xdr:colOff>
      <xdr:row>3</xdr:row>
      <xdr:rowOff>133350</xdr:rowOff>
    </xdr:to>
    <xdr:pic>
      <xdr:nvPicPr>
        <xdr:cNvPr id="1" name="Picture 4"/>
        <xdr:cNvPicPr preferRelativeResize="1">
          <a:picLocks noChangeAspect="1"/>
        </xdr:cNvPicPr>
      </xdr:nvPicPr>
      <xdr:blipFill>
        <a:blip r:embed="rId1"/>
        <a:stretch>
          <a:fillRect/>
        </a:stretch>
      </xdr:blipFill>
      <xdr:spPr>
        <a:xfrm>
          <a:off x="104775" y="104775"/>
          <a:ext cx="124777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heresa_wong\Local%20Settings\Temporary%20Internet%20Files\OLK2F\Canaccord%20Grp%20-%20F00%20to%2003%20and%20YTD%20Jan04%20consol%20IS%20trends-v7%20(excl%20Belz%20Bloom%20Reuter%20%20Jite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workbookViewId="0" topLeftCell="A1">
      <selection activeCell="H23" sqref="H23"/>
    </sheetView>
  </sheetViews>
  <sheetFormatPr defaultColWidth="9.140625" defaultRowHeight="12.75"/>
  <cols>
    <col min="1" max="3" width="11.7109375" style="0" customWidth="1"/>
    <col min="4" max="4" width="6.7109375" style="0" customWidth="1"/>
    <col min="5" max="5" width="16.28125" style="0" customWidth="1"/>
    <col min="6" max="6" width="6.7109375" style="0" customWidth="1"/>
    <col min="7" max="7" width="12.140625" style="0" bestFit="1" customWidth="1"/>
    <col min="8" max="9" width="11.7109375" style="0" customWidth="1"/>
    <col min="12" max="14" width="10.00390625" style="0" customWidth="1"/>
  </cols>
  <sheetData>
    <row r="2" ht="12.75">
      <c r="E2" s="101"/>
    </row>
    <row r="5" ht="12.75">
      <c r="I5" t="s">
        <v>56</v>
      </c>
    </row>
    <row r="6" ht="12.75">
      <c r="C6" s="102"/>
    </row>
    <row r="13" spans="3:7" ht="28.5" customHeight="1">
      <c r="C13" s="612" t="s">
        <v>57</v>
      </c>
      <c r="D13" s="613"/>
      <c r="E13" s="613"/>
      <c r="F13" s="613"/>
      <c r="G13" s="613"/>
    </row>
    <row r="16" spans="2:8" ht="25.5" customHeight="1">
      <c r="B16" s="616" t="s">
        <v>58</v>
      </c>
      <c r="C16" s="613"/>
      <c r="D16" s="613"/>
      <c r="E16" s="613"/>
      <c r="F16" s="613"/>
      <c r="G16" s="613"/>
      <c r="H16" s="613"/>
    </row>
    <row r="17" ht="12.75">
      <c r="U17" s="104"/>
    </row>
    <row r="18" ht="20.25">
      <c r="E18" s="105" t="s">
        <v>283</v>
      </c>
    </row>
    <row r="19" spans="2:6" ht="18" customHeight="1">
      <c r="B19" t="s">
        <v>56</v>
      </c>
      <c r="D19" s="106"/>
      <c r="E19" s="107" t="s">
        <v>284</v>
      </c>
      <c r="F19" s="106"/>
    </row>
    <row r="20" ht="12.75">
      <c r="E20" s="108"/>
    </row>
    <row r="21" ht="12.75">
      <c r="E21" s="109" t="s">
        <v>59</v>
      </c>
    </row>
    <row r="23" spans="5:21" ht="29.25" customHeight="1">
      <c r="E23" s="522"/>
      <c r="U23" s="104"/>
    </row>
    <row r="24" spans="2:8" ht="23.25" customHeight="1">
      <c r="B24" s="615" t="s">
        <v>60</v>
      </c>
      <c r="C24" s="613"/>
      <c r="D24" s="613"/>
      <c r="E24" s="613"/>
      <c r="F24" s="613"/>
      <c r="G24" s="613"/>
      <c r="H24" s="613"/>
    </row>
    <row r="26" ht="12.75">
      <c r="E26" s="109" t="s">
        <v>61</v>
      </c>
    </row>
    <row r="28" spans="3:7" ht="12.75" customHeight="1">
      <c r="C28" s="614" t="s">
        <v>299</v>
      </c>
      <c r="D28" s="614"/>
      <c r="E28" s="614" t="s">
        <v>62</v>
      </c>
      <c r="F28" s="614"/>
      <c r="G28" s="110" t="s">
        <v>300</v>
      </c>
    </row>
    <row r="29" spans="3:7" ht="12.75" customHeight="1">
      <c r="C29" s="614"/>
      <c r="D29" s="614"/>
      <c r="E29" s="614"/>
      <c r="F29" s="614"/>
      <c r="G29" s="110"/>
    </row>
    <row r="30" ht="12.75">
      <c r="AJ30">
        <f>AI30</f>
        <v>0</v>
      </c>
    </row>
    <row r="31" spans="4:7" ht="12.75">
      <c r="D31" s="3"/>
      <c r="E31" s="111"/>
      <c r="F31" s="3"/>
      <c r="G31" s="3"/>
    </row>
    <row r="32" spans="4:7" ht="12.75">
      <c r="D32" s="2"/>
      <c r="E32" s="112"/>
      <c r="F32" s="2"/>
      <c r="G32" s="3"/>
    </row>
    <row r="33" spans="4:7" ht="12.75">
      <c r="D33" s="3"/>
      <c r="E33" s="113"/>
      <c r="F33" s="3"/>
      <c r="G33" s="3"/>
    </row>
    <row r="34" spans="4:7" ht="12.75">
      <c r="D34" s="3"/>
      <c r="E34" s="114"/>
      <c r="F34" s="3"/>
      <c r="G34" s="3"/>
    </row>
    <row r="37" ht="12.75">
      <c r="G37" t="s">
        <v>56</v>
      </c>
    </row>
    <row r="42" ht="12.75">
      <c r="G42" s="115"/>
    </row>
    <row r="43" ht="12.75">
      <c r="G43" s="115"/>
    </row>
    <row r="44" ht="12.75">
      <c r="G44" s="115"/>
    </row>
    <row r="45" ht="12.75">
      <c r="G45" s="115"/>
    </row>
    <row r="46" ht="12.75">
      <c r="G46" s="115"/>
    </row>
    <row r="47" ht="12.75">
      <c r="G47" s="115"/>
    </row>
    <row r="51" spans="9:11" ht="12.75">
      <c r="I51" s="115"/>
      <c r="J51" s="115"/>
      <c r="K51" s="115"/>
    </row>
    <row r="52" spans="9:11" ht="12.75">
      <c r="I52" s="115"/>
      <c r="J52" s="115"/>
      <c r="K52" s="115"/>
    </row>
    <row r="53" spans="9:11" ht="12.75">
      <c r="I53" s="115"/>
      <c r="J53" s="115"/>
      <c r="K53" s="115"/>
    </row>
    <row r="54" spans="1:33" ht="12.75">
      <c r="A54" s="92"/>
      <c r="I54" s="115"/>
      <c r="J54" s="115"/>
      <c r="K54" s="115"/>
      <c r="M54" s="116"/>
      <c r="AA54" s="115"/>
      <c r="AG54" s="116">
        <v>0.233</v>
      </c>
    </row>
    <row r="55" spans="1:33" ht="12.75">
      <c r="A55" s="117"/>
      <c r="B55" s="118"/>
      <c r="C55" s="118"/>
      <c r="D55" s="118"/>
      <c r="E55" s="118"/>
      <c r="F55" s="118"/>
      <c r="G55" s="118"/>
      <c r="H55" s="118"/>
      <c r="I55" s="119"/>
      <c r="J55" s="119"/>
      <c r="K55" s="119"/>
      <c r="L55" s="118"/>
      <c r="M55" s="118"/>
      <c r="N55" s="118"/>
      <c r="O55" s="118"/>
      <c r="P55" s="118"/>
      <c r="Q55" s="118"/>
      <c r="R55" s="118"/>
      <c r="S55" s="118"/>
      <c r="T55" s="118"/>
      <c r="U55" s="118"/>
      <c r="V55" s="118"/>
      <c r="W55" s="118"/>
      <c r="X55" s="118"/>
      <c r="AA55" s="115"/>
      <c r="AG55">
        <v>7.8</v>
      </c>
    </row>
    <row r="56" spans="9:33" ht="12.75">
      <c r="I56" s="115"/>
      <c r="J56" s="115"/>
      <c r="K56" s="115"/>
      <c r="AA56" s="115"/>
      <c r="AG56">
        <v>1.9</v>
      </c>
    </row>
    <row r="57" spans="9:11" ht="12.75">
      <c r="I57" s="115"/>
      <c r="J57" s="115"/>
      <c r="K57" s="115"/>
    </row>
    <row r="61" spans="20:34" ht="12.75">
      <c r="T61" s="120" t="s">
        <v>63</v>
      </c>
      <c r="AH61" s="120" t="s">
        <v>63</v>
      </c>
    </row>
  </sheetData>
  <sheetProtection/>
  <mergeCells count="7">
    <mergeCell ref="C13:G13"/>
    <mergeCell ref="C28:D28"/>
    <mergeCell ref="C29:D29"/>
    <mergeCell ref="B24:H24"/>
    <mergeCell ref="B16:H16"/>
    <mergeCell ref="E28:F28"/>
    <mergeCell ref="E29:F29"/>
  </mergeCells>
  <printOptions horizontalCentered="1"/>
  <pageMargins left="0.3" right="0.3" top="0.4" bottom="0.6" header="0" footer="0.3"/>
  <pageSetup fitToHeight="1" fitToWidth="1" horizontalDpi="600" verticalDpi="600" orientation="landscape" r:id="rId2"/>
  <headerFooter alignWithMargins="0">
    <oddFooter>&amp;LCCI Supplementary Fiscal Q4/09 - May 20, 2009</oddFooter>
  </headerFooter>
  <drawing r:id="rId1"/>
</worksheet>
</file>

<file path=xl/worksheets/sheet10.xml><?xml version="1.0" encoding="utf-8"?>
<worksheet xmlns="http://schemas.openxmlformats.org/spreadsheetml/2006/main" xmlns:r="http://schemas.openxmlformats.org/officeDocument/2006/relationships">
  <dimension ref="A1:AK69"/>
  <sheetViews>
    <sheetView zoomScale="75" zoomScaleNormal="75" workbookViewId="0" topLeftCell="A1">
      <pane ySplit="10" topLeftCell="BM11" activePane="bottomLeft" state="frozen"/>
      <selection pane="topLeft" activeCell="B36" sqref="B36:L37"/>
      <selection pane="bottomLeft" activeCell="B36" sqref="B36:L37"/>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7109375" style="3" customWidth="1"/>
    <col min="9" max="14" width="9.7109375" style="0" customWidth="1"/>
    <col min="15" max="17" width="9.7109375" style="0" hidden="1" customWidth="1"/>
    <col min="18" max="18" width="1.57421875" style="0" customWidth="1"/>
    <col min="19" max="20" width="9.7109375" style="0" hidden="1" customWidth="1"/>
    <col min="21" max="22" width="9.7109375" style="0" customWidth="1"/>
    <col min="23" max="23" width="1.57421875" style="0" customWidth="1"/>
    <col min="24" max="28" width="9.7109375" style="0" customWidth="1"/>
    <col min="29" max="29" width="9.7109375" style="0" hidden="1" customWidth="1"/>
    <col min="30" max="30" width="1.57421875" style="0" customWidth="1"/>
  </cols>
  <sheetData>
    <row r="1" ht="12.75">
      <c r="H1" s="520"/>
    </row>
    <row r="2" ht="12.75">
      <c r="H2" s="520"/>
    </row>
    <row r="3" ht="12.75">
      <c r="H3" s="520"/>
    </row>
    <row r="4" spans="6:8" ht="12.75">
      <c r="F4" s="2"/>
      <c r="H4" s="520"/>
    </row>
    <row r="5" spans="1:11" ht="12.75">
      <c r="A5" s="3"/>
      <c r="B5" s="3"/>
      <c r="C5" s="3"/>
      <c r="D5" s="3"/>
      <c r="F5" s="2"/>
      <c r="H5" s="520"/>
      <c r="I5" s="3"/>
      <c r="J5" s="3"/>
      <c r="K5" s="3"/>
    </row>
    <row r="6" spans="1:11" ht="18" customHeight="1">
      <c r="A6" s="146" t="s">
        <v>196</v>
      </c>
      <c r="B6" s="3"/>
      <c r="C6" s="3"/>
      <c r="D6" s="3"/>
      <c r="F6" s="2"/>
      <c r="H6" s="520"/>
      <c r="I6" s="3"/>
      <c r="J6" s="3"/>
      <c r="K6" s="3"/>
    </row>
    <row r="7" spans="1:11" ht="18" customHeight="1">
      <c r="A7" s="146" t="s">
        <v>256</v>
      </c>
      <c r="B7" s="3"/>
      <c r="C7" s="3"/>
      <c r="D7" s="3"/>
      <c r="F7" s="2"/>
      <c r="H7" s="520"/>
      <c r="I7" s="3"/>
      <c r="J7" s="3"/>
      <c r="K7" s="3"/>
    </row>
    <row r="8" spans="1:29" ht="9.75" customHeight="1">
      <c r="A8" s="2"/>
      <c r="B8" s="2"/>
      <c r="C8" s="2"/>
      <c r="D8" s="2"/>
      <c r="E8" s="2"/>
      <c r="F8" s="563"/>
      <c r="G8" s="2"/>
      <c r="H8" s="2"/>
      <c r="I8" s="3"/>
      <c r="J8" s="3"/>
      <c r="K8" s="3"/>
      <c r="S8" s="639"/>
      <c r="T8" s="639"/>
      <c r="U8" s="639"/>
      <c r="V8" s="639"/>
      <c r="AA8" s="3"/>
      <c r="AB8" s="3"/>
      <c r="AC8" s="3"/>
    </row>
    <row r="9" spans="1:29" ht="12.75">
      <c r="A9" s="6" t="s">
        <v>1</v>
      </c>
      <c r="B9" s="7"/>
      <c r="C9" s="611" t="s">
        <v>286</v>
      </c>
      <c r="D9" s="629"/>
      <c r="E9" s="15"/>
      <c r="F9" s="17"/>
      <c r="G9" s="18"/>
      <c r="H9" s="18"/>
      <c r="I9" s="19"/>
      <c r="J9" s="18"/>
      <c r="K9" s="18"/>
      <c r="L9" s="18"/>
      <c r="M9" s="18"/>
      <c r="N9" s="22"/>
      <c r="O9" s="19"/>
      <c r="P9" s="19"/>
      <c r="Q9" s="19"/>
      <c r="R9" s="24"/>
      <c r="S9" s="611" t="s">
        <v>285</v>
      </c>
      <c r="T9" s="602"/>
      <c r="U9" s="602"/>
      <c r="V9" s="603"/>
      <c r="W9" s="15"/>
      <c r="X9" s="98"/>
      <c r="Y9" s="17"/>
      <c r="Z9" s="22"/>
      <c r="AA9" s="98"/>
      <c r="AB9" s="363"/>
      <c r="AC9" s="363"/>
    </row>
    <row r="10" spans="1:37" ht="13.5">
      <c r="A10" s="6" t="s">
        <v>2</v>
      </c>
      <c r="B10" s="7"/>
      <c r="C10" s="630" t="s">
        <v>51</v>
      </c>
      <c r="D10" s="631"/>
      <c r="E10" s="16"/>
      <c r="F10" s="20" t="s">
        <v>166</v>
      </c>
      <c r="G10" s="21" t="s">
        <v>167</v>
      </c>
      <c r="H10" s="21" t="s">
        <v>168</v>
      </c>
      <c r="I10" s="14" t="s">
        <v>42</v>
      </c>
      <c r="J10" s="21" t="s">
        <v>43</v>
      </c>
      <c r="K10" s="21" t="s">
        <v>44</v>
      </c>
      <c r="L10" s="21" t="s">
        <v>45</v>
      </c>
      <c r="M10" s="21" t="s">
        <v>46</v>
      </c>
      <c r="N10" s="23" t="s">
        <v>47</v>
      </c>
      <c r="O10" s="14" t="s">
        <v>48</v>
      </c>
      <c r="P10" s="14" t="s">
        <v>49</v>
      </c>
      <c r="Q10" s="14" t="s">
        <v>50</v>
      </c>
      <c r="R10" s="345"/>
      <c r="S10" s="20" t="s">
        <v>55</v>
      </c>
      <c r="T10" s="21" t="s">
        <v>52</v>
      </c>
      <c r="U10" s="643" t="s">
        <v>51</v>
      </c>
      <c r="V10" s="631"/>
      <c r="W10" s="16"/>
      <c r="X10" s="20" t="s">
        <v>55</v>
      </c>
      <c r="Y10" s="20" t="s">
        <v>52</v>
      </c>
      <c r="Z10" s="23" t="s">
        <v>53</v>
      </c>
      <c r="AA10" s="23" t="s">
        <v>242</v>
      </c>
      <c r="AB10" s="23" t="s">
        <v>243</v>
      </c>
      <c r="AC10" s="345" t="s">
        <v>249</v>
      </c>
      <c r="AD10" s="3"/>
      <c r="AE10" s="3"/>
      <c r="AF10" s="3"/>
      <c r="AI10" s="3"/>
      <c r="AJ10" s="3"/>
      <c r="AK10" s="3"/>
    </row>
    <row r="11" spans="1:35" ht="12.75" customHeight="1">
      <c r="A11" s="227" t="s">
        <v>136</v>
      </c>
      <c r="B11" s="8"/>
      <c r="C11" s="249"/>
      <c r="D11" s="250"/>
      <c r="E11" s="233"/>
      <c r="F11" s="249"/>
      <c r="G11" s="233"/>
      <c r="H11" s="233"/>
      <c r="I11" s="251"/>
      <c r="J11" s="281"/>
      <c r="K11" s="281"/>
      <c r="L11" s="281"/>
      <c r="M11" s="250"/>
      <c r="N11" s="280"/>
      <c r="O11" s="250"/>
      <c r="P11" s="250"/>
      <c r="Q11" s="250"/>
      <c r="R11" s="99"/>
      <c r="S11" s="249"/>
      <c r="T11" s="233"/>
      <c r="U11" s="233"/>
      <c r="V11" s="251"/>
      <c r="W11" s="92"/>
      <c r="X11" s="99"/>
      <c r="Y11" s="249"/>
      <c r="Z11" s="99"/>
      <c r="AA11" s="374"/>
      <c r="AB11" s="374"/>
      <c r="AC11" s="374"/>
      <c r="AD11" s="3"/>
      <c r="AE11" s="3"/>
      <c r="AF11" s="3"/>
      <c r="AI11" s="3"/>
    </row>
    <row r="12" spans="1:35" ht="12.75" customHeight="1">
      <c r="A12" s="227"/>
      <c r="B12" s="92" t="s">
        <v>183</v>
      </c>
      <c r="C12" s="328">
        <f>F12-J12</f>
        <v>-6596</v>
      </c>
      <c r="D12" s="29">
        <f>C12/J12</f>
        <v>-0.2831873604671132</v>
      </c>
      <c r="E12" s="233"/>
      <c r="F12" s="323">
        <f>'3 Canaccord Adams'!F19</f>
        <v>16696</v>
      </c>
      <c r="G12" s="320">
        <f>'3 Canaccord Adams'!G19</f>
        <v>16073</v>
      </c>
      <c r="H12" s="320">
        <v>17456</v>
      </c>
      <c r="I12" s="324">
        <f>'3 Canaccord Adams'!I19</f>
        <v>24569</v>
      </c>
      <c r="J12" s="320">
        <v>23292</v>
      </c>
      <c r="K12" s="320">
        <v>22388</v>
      </c>
      <c r="L12" s="320">
        <v>19827</v>
      </c>
      <c r="M12" s="324">
        <v>25281</v>
      </c>
      <c r="N12" s="287">
        <v>18686</v>
      </c>
      <c r="O12" s="324">
        <v>17651</v>
      </c>
      <c r="P12" s="324">
        <v>17682</v>
      </c>
      <c r="Q12" s="324">
        <v>22625</v>
      </c>
      <c r="R12" s="99"/>
      <c r="S12" s="317">
        <f aca="true" t="shared" si="0" ref="S12:T15">X12</f>
        <v>74794</v>
      </c>
      <c r="T12" s="400">
        <f t="shared" si="0"/>
        <v>90788</v>
      </c>
      <c r="U12" s="340">
        <f>S12-T12</f>
        <v>-15994</v>
      </c>
      <c r="V12" s="29">
        <f>U12/T12</f>
        <v>-0.17616865665065867</v>
      </c>
      <c r="W12" s="92"/>
      <c r="X12" s="323">
        <f>F12+G12+H12+I12</f>
        <v>74794</v>
      </c>
      <c r="Y12" s="287">
        <v>90788</v>
      </c>
      <c r="Z12" s="324">
        <v>76644</v>
      </c>
      <c r="AA12" s="42">
        <v>18692</v>
      </c>
      <c r="AB12" s="42">
        <v>0</v>
      </c>
      <c r="AC12" s="42">
        <v>0</v>
      </c>
      <c r="AD12" s="3"/>
      <c r="AE12" s="3"/>
      <c r="AF12" s="3"/>
      <c r="AI12" s="3"/>
    </row>
    <row r="13" spans="1:35" ht="12.75" customHeight="1">
      <c r="A13" s="227"/>
      <c r="B13" s="92" t="s">
        <v>184</v>
      </c>
      <c r="C13" s="328">
        <f>F13-J13</f>
        <v>-261</v>
      </c>
      <c r="D13" s="29">
        <f>C13/J13</f>
        <v>-0.3359073359073359</v>
      </c>
      <c r="E13" s="233"/>
      <c r="F13" s="323">
        <f>'4 Private Client'!F13</f>
        <v>516</v>
      </c>
      <c r="G13" s="320">
        <f>'4 Private Client'!G13</f>
        <v>460</v>
      </c>
      <c r="H13" s="320">
        <v>828</v>
      </c>
      <c r="I13" s="324">
        <f>'4 Private Client'!I13</f>
        <v>1052</v>
      </c>
      <c r="J13" s="320">
        <v>777</v>
      </c>
      <c r="K13" s="320">
        <v>719</v>
      </c>
      <c r="L13" s="320">
        <v>827</v>
      </c>
      <c r="M13" s="324">
        <v>1093</v>
      </c>
      <c r="N13" s="287">
        <v>1149</v>
      </c>
      <c r="O13" s="324">
        <v>924</v>
      </c>
      <c r="P13" s="324">
        <v>666</v>
      </c>
      <c r="Q13" s="324">
        <v>1290</v>
      </c>
      <c r="R13" s="99"/>
      <c r="S13" s="317">
        <f t="shared" si="0"/>
        <v>2856</v>
      </c>
      <c r="T13" s="400">
        <f t="shared" si="0"/>
        <v>3416</v>
      </c>
      <c r="U13" s="340">
        <f aca="true" t="shared" si="1" ref="U13:U29">S13-T13</f>
        <v>-560</v>
      </c>
      <c r="V13" s="29">
        <f aca="true" t="shared" si="2" ref="V13:V28">U13/T13</f>
        <v>-0.16393442622950818</v>
      </c>
      <c r="W13" s="92"/>
      <c r="X13" s="323">
        <f>F13+G13+H13+I13</f>
        <v>2856</v>
      </c>
      <c r="Y13" s="287">
        <v>3416</v>
      </c>
      <c r="Z13" s="324">
        <v>4029</v>
      </c>
      <c r="AA13" s="42">
        <v>1269</v>
      </c>
      <c r="AB13" s="42">
        <v>0</v>
      </c>
      <c r="AC13" s="42">
        <v>0</v>
      </c>
      <c r="AD13" s="3"/>
      <c r="AE13" s="3"/>
      <c r="AF13" s="3"/>
      <c r="AI13" s="3"/>
    </row>
    <row r="14" spans="1:35" ht="12.75" customHeight="1" hidden="1">
      <c r="A14" s="7"/>
      <c r="B14" s="92" t="s">
        <v>187</v>
      </c>
      <c r="C14" s="328">
        <f>F14-J14</f>
        <v>-17</v>
      </c>
      <c r="D14" s="29">
        <f>C14/J14</f>
        <v>-0.6296296296296297</v>
      </c>
      <c r="E14" s="40"/>
      <c r="F14" s="323">
        <f>'5 Other'!F13</f>
        <v>10</v>
      </c>
      <c r="G14" s="320">
        <f>'5 Other'!G13</f>
        <v>53</v>
      </c>
      <c r="H14" s="320">
        <v>25</v>
      </c>
      <c r="I14" s="324">
        <f>'5 Other'!I13</f>
        <v>20</v>
      </c>
      <c r="J14" s="320">
        <v>27</v>
      </c>
      <c r="K14" s="320">
        <v>28</v>
      </c>
      <c r="L14" s="320">
        <v>83</v>
      </c>
      <c r="M14" s="324">
        <v>48</v>
      </c>
      <c r="N14" s="287">
        <v>81</v>
      </c>
      <c r="O14" s="324">
        <v>38</v>
      </c>
      <c r="P14" s="324">
        <v>397</v>
      </c>
      <c r="Q14" s="324">
        <v>70</v>
      </c>
      <c r="R14" s="289"/>
      <c r="S14" s="317">
        <f t="shared" si="0"/>
        <v>108</v>
      </c>
      <c r="T14" s="400">
        <f t="shared" si="0"/>
        <v>186</v>
      </c>
      <c r="U14" s="340">
        <f t="shared" si="1"/>
        <v>-78</v>
      </c>
      <c r="V14" s="29">
        <f t="shared" si="2"/>
        <v>-0.41935483870967744</v>
      </c>
      <c r="W14" s="331"/>
      <c r="X14" s="323">
        <f>F14+G14+H14+I14</f>
        <v>108</v>
      </c>
      <c r="Y14" s="287">
        <v>186</v>
      </c>
      <c r="Z14" s="324">
        <v>586</v>
      </c>
      <c r="AA14" s="42">
        <v>75</v>
      </c>
      <c r="AB14" s="42">
        <v>0</v>
      </c>
      <c r="AC14" s="42">
        <v>0</v>
      </c>
      <c r="AD14" s="3"/>
      <c r="AE14" s="3"/>
      <c r="AF14" s="3"/>
      <c r="AI14" s="3"/>
    </row>
    <row r="15" spans="1:35" ht="12.75" customHeight="1">
      <c r="A15" s="8"/>
      <c r="B15" s="7"/>
      <c r="C15" s="332">
        <f>F15-J15</f>
        <v>-6857</v>
      </c>
      <c r="D15" s="255">
        <f>C15/J15</f>
        <v>-0.2848892766629274</v>
      </c>
      <c r="E15" s="40"/>
      <c r="F15" s="333">
        <f>SUM(F12:F13)</f>
        <v>17212</v>
      </c>
      <c r="G15" s="334">
        <f aca="true" t="shared" si="3" ref="G15:N15">SUM(G12:G13)</f>
        <v>16533</v>
      </c>
      <c r="H15" s="334">
        <f t="shared" si="3"/>
        <v>18284</v>
      </c>
      <c r="I15" s="334">
        <f t="shared" si="3"/>
        <v>25621</v>
      </c>
      <c r="J15" s="333">
        <f t="shared" si="3"/>
        <v>24069</v>
      </c>
      <c r="K15" s="334">
        <f t="shared" si="3"/>
        <v>23107</v>
      </c>
      <c r="L15" s="334">
        <f t="shared" si="3"/>
        <v>20654</v>
      </c>
      <c r="M15" s="334">
        <f t="shared" si="3"/>
        <v>26374</v>
      </c>
      <c r="N15" s="333">
        <f t="shared" si="3"/>
        <v>19835</v>
      </c>
      <c r="O15" s="335">
        <v>18613</v>
      </c>
      <c r="P15" s="335">
        <v>18745</v>
      </c>
      <c r="Q15" s="335">
        <v>23985</v>
      </c>
      <c r="R15" s="289"/>
      <c r="S15" s="402">
        <f t="shared" si="0"/>
        <v>77650</v>
      </c>
      <c r="T15" s="403">
        <f t="shared" si="0"/>
        <v>94204</v>
      </c>
      <c r="U15" s="401">
        <f t="shared" si="1"/>
        <v>-16554</v>
      </c>
      <c r="V15" s="255">
        <f t="shared" si="2"/>
        <v>-0.17572502229204703</v>
      </c>
      <c r="W15" s="331"/>
      <c r="X15" s="333">
        <f>SUM(X12:X13)</f>
        <v>77650</v>
      </c>
      <c r="Y15" s="333">
        <f>SUM(Y12:Y13)</f>
        <v>94204</v>
      </c>
      <c r="Z15" s="333">
        <f>SUM(Z12:Z13)</f>
        <v>80673</v>
      </c>
      <c r="AA15" s="333">
        <f>SUM(AA12:AA13)</f>
        <v>19961</v>
      </c>
      <c r="AB15" s="369">
        <v>0</v>
      </c>
      <c r="AC15" s="369">
        <v>0</v>
      </c>
      <c r="AD15" s="3"/>
      <c r="AE15" s="3"/>
      <c r="AF15" s="3"/>
      <c r="AI15" s="3"/>
    </row>
    <row r="16" spans="1:35" ht="12.75" customHeight="1">
      <c r="A16" s="227" t="s">
        <v>5</v>
      </c>
      <c r="B16" s="7"/>
      <c r="C16" s="328"/>
      <c r="D16" s="29"/>
      <c r="E16" s="40"/>
      <c r="F16" s="323"/>
      <c r="G16" s="320"/>
      <c r="H16" s="320"/>
      <c r="I16" s="324"/>
      <c r="J16" s="320"/>
      <c r="K16" s="320"/>
      <c r="L16" s="320"/>
      <c r="M16" s="324"/>
      <c r="N16" s="287"/>
      <c r="O16" s="324"/>
      <c r="P16" s="324"/>
      <c r="Q16" s="324"/>
      <c r="R16" s="289"/>
      <c r="S16" s="317"/>
      <c r="T16" s="400"/>
      <c r="U16" s="340"/>
      <c r="V16" s="29"/>
      <c r="W16" s="331"/>
      <c r="X16" s="323"/>
      <c r="Y16" s="287"/>
      <c r="Z16" s="324"/>
      <c r="AA16" s="42"/>
      <c r="AB16" s="42"/>
      <c r="AC16" s="42"/>
      <c r="AD16" s="3"/>
      <c r="AE16" s="3"/>
      <c r="AF16" s="3"/>
      <c r="AI16" s="3"/>
    </row>
    <row r="17" spans="1:35" ht="12.75" customHeight="1">
      <c r="A17" s="8"/>
      <c r="B17" s="92" t="s">
        <v>180</v>
      </c>
      <c r="C17" s="328">
        <f aca="true" t="shared" si="4" ref="C17:C29">F17-J17</f>
        <v>-5962</v>
      </c>
      <c r="D17" s="29">
        <f aca="true" t="shared" si="5" ref="D17:D29">C17/J17</f>
        <v>-0.4118825561312608</v>
      </c>
      <c r="E17" s="40"/>
      <c r="F17" s="323">
        <v>8513</v>
      </c>
      <c r="G17" s="320">
        <v>8108</v>
      </c>
      <c r="H17" s="320">
        <v>8420</v>
      </c>
      <c r="I17" s="324">
        <v>10986</v>
      </c>
      <c r="J17" s="320">
        <v>14475</v>
      </c>
      <c r="K17" s="320">
        <v>12378</v>
      </c>
      <c r="L17" s="320">
        <v>9511</v>
      </c>
      <c r="M17" s="324">
        <v>12376</v>
      </c>
      <c r="N17" s="287">
        <v>10496</v>
      </c>
      <c r="O17" s="324">
        <v>9820</v>
      </c>
      <c r="P17" s="324">
        <v>9342</v>
      </c>
      <c r="Q17" s="324">
        <v>12902</v>
      </c>
      <c r="R17" s="289"/>
      <c r="S17" s="317">
        <f aca="true" t="shared" si="6" ref="S17:S29">X17</f>
        <v>36027</v>
      </c>
      <c r="T17" s="400">
        <f aca="true" t="shared" si="7" ref="T17:T29">Y17</f>
        <v>48740</v>
      </c>
      <c r="U17" s="340">
        <f t="shared" si="1"/>
        <v>-12713</v>
      </c>
      <c r="V17" s="29">
        <f t="shared" si="2"/>
        <v>-0.26083299138284777</v>
      </c>
      <c r="W17" s="331"/>
      <c r="X17" s="323">
        <f aca="true" t="shared" si="8" ref="X17:X27">F17+G17+H17+I17</f>
        <v>36027</v>
      </c>
      <c r="Y17" s="287">
        <v>48740</v>
      </c>
      <c r="Z17" s="324">
        <v>42560</v>
      </c>
      <c r="AA17" s="42">
        <v>9134</v>
      </c>
      <c r="AB17" s="42">
        <v>0</v>
      </c>
      <c r="AC17" s="42">
        <v>0</v>
      </c>
      <c r="AD17" s="3"/>
      <c r="AE17" s="3"/>
      <c r="AF17" s="3"/>
      <c r="AI17" s="3"/>
    </row>
    <row r="18" spans="1:35" ht="12.75" customHeight="1">
      <c r="A18" s="8"/>
      <c r="B18" s="92" t="s">
        <v>142</v>
      </c>
      <c r="C18" s="328">
        <f t="shared" si="4"/>
        <v>218</v>
      </c>
      <c r="D18" s="29">
        <f t="shared" si="5"/>
        <v>0.22244897959183674</v>
      </c>
      <c r="E18" s="40"/>
      <c r="F18" s="323">
        <v>1198</v>
      </c>
      <c r="G18" s="320">
        <v>1224</v>
      </c>
      <c r="H18" s="320">
        <v>1226</v>
      </c>
      <c r="I18" s="324">
        <v>1513</v>
      </c>
      <c r="J18" s="320">
        <v>980</v>
      </c>
      <c r="K18" s="320">
        <v>1018</v>
      </c>
      <c r="L18" s="320">
        <v>1257</v>
      </c>
      <c r="M18" s="324">
        <v>1228</v>
      </c>
      <c r="N18" s="287">
        <v>1329</v>
      </c>
      <c r="O18" s="324">
        <v>1212</v>
      </c>
      <c r="P18" s="324">
        <v>815</v>
      </c>
      <c r="Q18" s="324">
        <v>1754</v>
      </c>
      <c r="R18" s="289"/>
      <c r="S18" s="317">
        <f t="shared" si="6"/>
        <v>5161</v>
      </c>
      <c r="T18" s="400">
        <f t="shared" si="7"/>
        <v>4483</v>
      </c>
      <c r="U18" s="340">
        <f t="shared" si="1"/>
        <v>678</v>
      </c>
      <c r="V18" s="29">
        <f t="shared" si="2"/>
        <v>0.15123801026098593</v>
      </c>
      <c r="W18" s="329"/>
      <c r="X18" s="323">
        <f t="shared" si="8"/>
        <v>5161</v>
      </c>
      <c r="Y18" s="287">
        <v>4483</v>
      </c>
      <c r="Z18" s="324">
        <v>5110</v>
      </c>
      <c r="AA18" s="42">
        <v>1613</v>
      </c>
      <c r="AB18" s="42">
        <v>0</v>
      </c>
      <c r="AC18" s="42">
        <v>0</v>
      </c>
      <c r="AD18" s="3"/>
      <c r="AE18" s="3"/>
      <c r="AF18" s="3"/>
      <c r="AI18" s="3"/>
    </row>
    <row r="19" spans="1:35" ht="12.75" customHeight="1">
      <c r="A19" s="8"/>
      <c r="B19" s="92" t="s">
        <v>189</v>
      </c>
      <c r="C19" s="328">
        <f t="shared" si="4"/>
        <v>-12</v>
      </c>
      <c r="D19" s="29">
        <f t="shared" si="5"/>
        <v>-0.00631911532385466</v>
      </c>
      <c r="E19" s="40"/>
      <c r="F19" s="323">
        <v>1887</v>
      </c>
      <c r="G19" s="320">
        <v>1909</v>
      </c>
      <c r="H19" s="320">
        <v>2613</v>
      </c>
      <c r="I19" s="324">
        <v>2363</v>
      </c>
      <c r="J19" s="320">
        <v>1899</v>
      </c>
      <c r="K19" s="320">
        <v>2030</v>
      </c>
      <c r="L19" s="320">
        <v>2443</v>
      </c>
      <c r="M19" s="324">
        <v>2277</v>
      </c>
      <c r="N19" s="287">
        <v>2198</v>
      </c>
      <c r="O19" s="324">
        <v>2557</v>
      </c>
      <c r="P19" s="324">
        <v>1957</v>
      </c>
      <c r="Q19" s="324">
        <v>2280</v>
      </c>
      <c r="R19" s="289"/>
      <c r="S19" s="317">
        <f t="shared" si="6"/>
        <v>8772</v>
      </c>
      <c r="T19" s="400">
        <f t="shared" si="7"/>
        <v>8649</v>
      </c>
      <c r="U19" s="340">
        <f t="shared" si="1"/>
        <v>123</v>
      </c>
      <c r="V19" s="29">
        <f t="shared" si="2"/>
        <v>0.01422129725979882</v>
      </c>
      <c r="W19" s="331"/>
      <c r="X19" s="323">
        <f t="shared" si="8"/>
        <v>8772</v>
      </c>
      <c r="Y19" s="287">
        <v>8649</v>
      </c>
      <c r="Z19" s="324">
        <v>8992</v>
      </c>
      <c r="AA19" s="42">
        <v>2026</v>
      </c>
      <c r="AB19" s="42">
        <v>0</v>
      </c>
      <c r="AC19" s="42">
        <v>0</v>
      </c>
      <c r="AD19" s="3"/>
      <c r="AE19" s="3"/>
      <c r="AF19" s="3"/>
      <c r="AI19" s="3"/>
    </row>
    <row r="20" spans="1:35" ht="12.75" customHeight="1">
      <c r="A20" s="8"/>
      <c r="B20" s="92" t="s">
        <v>144</v>
      </c>
      <c r="C20" s="328">
        <f t="shared" si="4"/>
        <v>128</v>
      </c>
      <c r="D20" s="29">
        <f t="shared" si="5"/>
        <v>0.10047095761381476</v>
      </c>
      <c r="E20" s="40"/>
      <c r="F20" s="323">
        <v>1402</v>
      </c>
      <c r="G20" s="320">
        <v>1383</v>
      </c>
      <c r="H20" s="320">
        <v>1259</v>
      </c>
      <c r="I20" s="324">
        <v>1097</v>
      </c>
      <c r="J20" s="320">
        <v>1274</v>
      </c>
      <c r="K20" s="320">
        <v>1255</v>
      </c>
      <c r="L20" s="320">
        <v>1169</v>
      </c>
      <c r="M20" s="324">
        <v>1269</v>
      </c>
      <c r="N20" s="287">
        <v>1500</v>
      </c>
      <c r="O20" s="324">
        <v>907</v>
      </c>
      <c r="P20" s="324">
        <v>929</v>
      </c>
      <c r="Q20" s="324">
        <v>908</v>
      </c>
      <c r="R20" s="289"/>
      <c r="S20" s="317">
        <f t="shared" si="6"/>
        <v>5141</v>
      </c>
      <c r="T20" s="400">
        <f t="shared" si="7"/>
        <v>4967</v>
      </c>
      <c r="U20" s="340">
        <f t="shared" si="1"/>
        <v>174</v>
      </c>
      <c r="V20" s="29">
        <f t="shared" si="2"/>
        <v>0.03503120595933159</v>
      </c>
      <c r="W20" s="331"/>
      <c r="X20" s="323">
        <f t="shared" si="8"/>
        <v>5141</v>
      </c>
      <c r="Y20" s="287">
        <v>4967</v>
      </c>
      <c r="Z20" s="324">
        <v>4244</v>
      </c>
      <c r="AA20" s="42">
        <v>1003</v>
      </c>
      <c r="AB20" s="42">
        <v>0</v>
      </c>
      <c r="AC20" s="42">
        <v>0</v>
      </c>
      <c r="AD20" s="3"/>
      <c r="AE20" s="3"/>
      <c r="AF20" s="3"/>
      <c r="AI20" s="3"/>
    </row>
    <row r="21" spans="1:35" ht="12.75" customHeight="1">
      <c r="A21" s="8"/>
      <c r="B21" s="92" t="s">
        <v>145</v>
      </c>
      <c r="C21" s="328">
        <f t="shared" si="4"/>
        <v>660</v>
      </c>
      <c r="D21" s="29">
        <f t="shared" si="5"/>
        <v>0.8560311284046692</v>
      </c>
      <c r="E21" s="40"/>
      <c r="F21" s="323">
        <v>1431</v>
      </c>
      <c r="G21" s="320">
        <v>1735</v>
      </c>
      <c r="H21" s="320">
        <v>1172</v>
      </c>
      <c r="I21" s="324">
        <v>723</v>
      </c>
      <c r="J21" s="320">
        <v>771</v>
      </c>
      <c r="K21" s="320">
        <v>615</v>
      </c>
      <c r="L21" s="320">
        <v>571</v>
      </c>
      <c r="M21" s="324">
        <v>619</v>
      </c>
      <c r="N21" s="287">
        <v>605</v>
      </c>
      <c r="O21" s="324">
        <v>585</v>
      </c>
      <c r="P21" s="324">
        <v>494</v>
      </c>
      <c r="Q21" s="324">
        <v>600</v>
      </c>
      <c r="R21" s="289"/>
      <c r="S21" s="317">
        <f t="shared" si="6"/>
        <v>5061</v>
      </c>
      <c r="T21" s="400">
        <f t="shared" si="7"/>
        <v>2576</v>
      </c>
      <c r="U21" s="340">
        <f t="shared" si="1"/>
        <v>2485</v>
      </c>
      <c r="V21" s="29">
        <f t="shared" si="2"/>
        <v>0.9646739130434783</v>
      </c>
      <c r="W21" s="331"/>
      <c r="X21" s="323">
        <f t="shared" si="8"/>
        <v>5061</v>
      </c>
      <c r="Y21" s="287">
        <v>2576</v>
      </c>
      <c r="Z21" s="324">
        <v>2284</v>
      </c>
      <c r="AA21" s="42">
        <v>496</v>
      </c>
      <c r="AB21" s="42">
        <v>0</v>
      </c>
      <c r="AC21" s="42">
        <v>0</v>
      </c>
      <c r="AD21" s="3"/>
      <c r="AE21" s="3"/>
      <c r="AF21" s="3"/>
      <c r="AI21" s="3"/>
    </row>
    <row r="22" spans="1:35" ht="12.75" customHeight="1">
      <c r="A22" s="8"/>
      <c r="B22" s="92" t="s">
        <v>140</v>
      </c>
      <c r="C22" s="328">
        <f t="shared" si="4"/>
        <v>646</v>
      </c>
      <c r="D22" s="29">
        <f t="shared" si="5"/>
        <v>1.3628691983122363</v>
      </c>
      <c r="E22" s="40"/>
      <c r="F22" s="323">
        <v>1120</v>
      </c>
      <c r="G22" s="320">
        <v>884</v>
      </c>
      <c r="H22" s="320">
        <v>584</v>
      </c>
      <c r="I22" s="324">
        <v>486</v>
      </c>
      <c r="J22" s="320">
        <v>474</v>
      </c>
      <c r="K22" s="320">
        <v>456</v>
      </c>
      <c r="L22" s="320">
        <v>479</v>
      </c>
      <c r="M22" s="324">
        <v>321</v>
      </c>
      <c r="N22" s="287">
        <v>139</v>
      </c>
      <c r="O22" s="324">
        <v>102</v>
      </c>
      <c r="P22" s="324">
        <v>80</v>
      </c>
      <c r="Q22" s="324">
        <v>94</v>
      </c>
      <c r="R22" s="289"/>
      <c r="S22" s="317">
        <f t="shared" si="6"/>
        <v>3074</v>
      </c>
      <c r="T22" s="400">
        <f t="shared" si="7"/>
        <v>1730</v>
      </c>
      <c r="U22" s="340">
        <f t="shared" si="1"/>
        <v>1344</v>
      </c>
      <c r="V22" s="29">
        <f t="shared" si="2"/>
        <v>0.776878612716763</v>
      </c>
      <c r="W22" s="331"/>
      <c r="X22" s="323">
        <f t="shared" si="8"/>
        <v>3074</v>
      </c>
      <c r="Y22" s="287">
        <v>1730</v>
      </c>
      <c r="Z22" s="324">
        <v>415</v>
      </c>
      <c r="AA22" s="42">
        <v>89</v>
      </c>
      <c r="AB22" s="42">
        <v>0</v>
      </c>
      <c r="AC22" s="42">
        <v>0</v>
      </c>
      <c r="AD22" s="3"/>
      <c r="AE22" s="3"/>
      <c r="AF22" s="3"/>
      <c r="AI22" s="3"/>
    </row>
    <row r="23" spans="1:35" ht="12.75" customHeight="1">
      <c r="A23" s="8"/>
      <c r="B23" s="92" t="s">
        <v>181</v>
      </c>
      <c r="C23" s="328">
        <f t="shared" si="4"/>
        <v>-867</v>
      </c>
      <c r="D23" s="29">
        <f t="shared" si="5"/>
        <v>-0.2712765957446808</v>
      </c>
      <c r="E23" s="40"/>
      <c r="F23" s="323">
        <v>2329</v>
      </c>
      <c r="G23" s="320">
        <v>2527</v>
      </c>
      <c r="H23" s="320">
        <v>3913</v>
      </c>
      <c r="I23" s="324">
        <v>3848</v>
      </c>
      <c r="J23" s="320">
        <v>3196</v>
      </c>
      <c r="K23" s="320">
        <v>2461</v>
      </c>
      <c r="L23" s="320">
        <v>3688</v>
      </c>
      <c r="M23" s="324">
        <v>3089</v>
      </c>
      <c r="N23" s="287">
        <v>3359</v>
      </c>
      <c r="O23" s="324">
        <v>2751</v>
      </c>
      <c r="P23" s="324">
        <v>2734</v>
      </c>
      <c r="Q23" s="324">
        <v>2277</v>
      </c>
      <c r="R23" s="289"/>
      <c r="S23" s="317">
        <f t="shared" si="6"/>
        <v>12617</v>
      </c>
      <c r="T23" s="400">
        <f t="shared" si="7"/>
        <v>12434</v>
      </c>
      <c r="U23" s="340">
        <f t="shared" si="1"/>
        <v>183</v>
      </c>
      <c r="V23" s="29">
        <f t="shared" si="2"/>
        <v>0.014717709506192698</v>
      </c>
      <c r="W23" s="331"/>
      <c r="X23" s="323">
        <f t="shared" si="8"/>
        <v>12617</v>
      </c>
      <c r="Y23" s="287">
        <v>12434</v>
      </c>
      <c r="Z23" s="324">
        <v>11121</v>
      </c>
      <c r="AA23" s="42">
        <v>1787</v>
      </c>
      <c r="AB23" s="42">
        <v>0</v>
      </c>
      <c r="AC23" s="42">
        <v>0</v>
      </c>
      <c r="AD23" s="3"/>
      <c r="AE23" s="3"/>
      <c r="AF23" s="3"/>
      <c r="AI23" s="3"/>
    </row>
    <row r="24" spans="1:35" ht="12.75" customHeight="1">
      <c r="A24" s="8"/>
      <c r="B24" s="92" t="s">
        <v>147</v>
      </c>
      <c r="C24" s="328">
        <f t="shared" si="4"/>
        <v>0</v>
      </c>
      <c r="D24" s="29">
        <f t="shared" si="5"/>
        <v>0</v>
      </c>
      <c r="E24" s="40"/>
      <c r="F24" s="323">
        <v>298</v>
      </c>
      <c r="G24" s="320">
        <v>295</v>
      </c>
      <c r="H24" s="320">
        <v>259</v>
      </c>
      <c r="I24" s="324">
        <v>246</v>
      </c>
      <c r="J24" s="320">
        <v>298</v>
      </c>
      <c r="K24" s="320">
        <v>296</v>
      </c>
      <c r="L24" s="320">
        <v>280</v>
      </c>
      <c r="M24" s="324">
        <v>232</v>
      </c>
      <c r="N24" s="287">
        <v>180</v>
      </c>
      <c r="O24" s="324">
        <v>199</v>
      </c>
      <c r="P24" s="324">
        <v>155</v>
      </c>
      <c r="Q24" s="324">
        <v>173</v>
      </c>
      <c r="R24" s="289"/>
      <c r="S24" s="317">
        <f t="shared" si="6"/>
        <v>1098</v>
      </c>
      <c r="T24" s="400">
        <f t="shared" si="7"/>
        <v>1106</v>
      </c>
      <c r="U24" s="340">
        <f t="shared" si="1"/>
        <v>-8</v>
      </c>
      <c r="V24" s="29">
        <f t="shared" si="2"/>
        <v>-0.007233273056057866</v>
      </c>
      <c r="W24" s="331"/>
      <c r="X24" s="323">
        <f t="shared" si="8"/>
        <v>1098</v>
      </c>
      <c r="Y24" s="287">
        <v>1106</v>
      </c>
      <c r="Z24" s="324">
        <v>707</v>
      </c>
      <c r="AA24" s="42">
        <v>178</v>
      </c>
      <c r="AB24" s="42">
        <v>0</v>
      </c>
      <c r="AC24" s="42">
        <v>0</v>
      </c>
      <c r="AD24" s="3"/>
      <c r="AE24" s="3"/>
      <c r="AF24" s="3"/>
      <c r="AI24" s="3"/>
    </row>
    <row r="25" spans="1:35" ht="12.75" customHeight="1">
      <c r="A25" s="8"/>
      <c r="B25" s="92" t="s">
        <v>148</v>
      </c>
      <c r="C25" s="328">
        <f t="shared" si="4"/>
        <v>-3129</v>
      </c>
      <c r="D25" s="29">
        <f t="shared" si="5"/>
        <v>-0.5867241702606413</v>
      </c>
      <c r="E25" s="40"/>
      <c r="F25" s="323">
        <v>2204</v>
      </c>
      <c r="G25" s="320">
        <v>3246</v>
      </c>
      <c r="H25" s="320">
        <v>2719</v>
      </c>
      <c r="I25" s="324">
        <v>3341</v>
      </c>
      <c r="J25" s="320">
        <v>5333</v>
      </c>
      <c r="K25" s="320">
        <v>3240</v>
      </c>
      <c r="L25" s="320">
        <v>4438</v>
      </c>
      <c r="M25" s="324">
        <v>3867</v>
      </c>
      <c r="N25" s="287">
        <v>3233</v>
      </c>
      <c r="O25" s="324">
        <v>2112</v>
      </c>
      <c r="P25" s="324">
        <v>2716</v>
      </c>
      <c r="Q25" s="324">
        <v>809</v>
      </c>
      <c r="R25" s="289"/>
      <c r="S25" s="317">
        <f t="shared" si="6"/>
        <v>11510</v>
      </c>
      <c r="T25" s="400">
        <f t="shared" si="7"/>
        <v>16878</v>
      </c>
      <c r="U25" s="340">
        <f t="shared" si="1"/>
        <v>-5368</v>
      </c>
      <c r="V25" s="29">
        <f t="shared" si="2"/>
        <v>-0.3180471619860173</v>
      </c>
      <c r="W25" s="331"/>
      <c r="X25" s="323">
        <f t="shared" si="8"/>
        <v>11510</v>
      </c>
      <c r="Y25" s="287">
        <v>16878</v>
      </c>
      <c r="Z25" s="324">
        <v>8870</v>
      </c>
      <c r="AA25" s="42">
        <v>554</v>
      </c>
      <c r="AB25" s="42">
        <v>0</v>
      </c>
      <c r="AC25" s="42">
        <v>0</v>
      </c>
      <c r="AD25" s="3"/>
      <c r="AE25" s="3"/>
      <c r="AF25" s="3"/>
      <c r="AI25" s="3"/>
    </row>
    <row r="26" spans="1:35" ht="12.75" customHeight="1">
      <c r="A26" s="8"/>
      <c r="B26" s="7" t="s">
        <v>279</v>
      </c>
      <c r="C26" s="328">
        <f t="shared" si="4"/>
        <v>0</v>
      </c>
      <c r="D26" s="29">
        <v>0</v>
      </c>
      <c r="E26" s="40"/>
      <c r="F26" s="37">
        <v>0</v>
      </c>
      <c r="G26" s="320">
        <v>27566</v>
      </c>
      <c r="H26" s="30">
        <v>0</v>
      </c>
      <c r="I26" s="27">
        <v>0</v>
      </c>
      <c r="J26" s="30">
        <v>0</v>
      </c>
      <c r="K26" s="30">
        <v>0</v>
      </c>
      <c r="L26" s="30">
        <v>0</v>
      </c>
      <c r="M26" s="30">
        <v>0</v>
      </c>
      <c r="N26" s="42">
        <v>0</v>
      </c>
      <c r="O26" s="27">
        <v>0</v>
      </c>
      <c r="P26" s="324"/>
      <c r="Q26" s="324"/>
      <c r="R26" s="289"/>
      <c r="S26" s="37">
        <f t="shared" si="6"/>
        <v>27566</v>
      </c>
      <c r="T26" s="30">
        <f t="shared" si="7"/>
        <v>0</v>
      </c>
      <c r="U26" s="340">
        <f>S26-T26</f>
        <v>27566</v>
      </c>
      <c r="V26" s="29" t="s">
        <v>54</v>
      </c>
      <c r="W26" s="331"/>
      <c r="X26" s="323">
        <f t="shared" si="8"/>
        <v>27566</v>
      </c>
      <c r="Y26" s="42">
        <v>0</v>
      </c>
      <c r="Z26" s="42">
        <v>0</v>
      </c>
      <c r="AA26" s="42">
        <v>0</v>
      </c>
      <c r="AB26" s="42">
        <v>0</v>
      </c>
      <c r="AC26" s="42">
        <v>0</v>
      </c>
      <c r="AD26" s="3"/>
      <c r="AE26" s="3"/>
      <c r="AF26" s="3"/>
      <c r="AI26" s="3"/>
    </row>
    <row r="27" spans="1:35" ht="12.75" customHeight="1">
      <c r="A27" s="8"/>
      <c r="B27" s="7" t="s">
        <v>290</v>
      </c>
      <c r="C27" s="328">
        <f t="shared" si="4"/>
        <v>0</v>
      </c>
      <c r="D27" s="29">
        <v>0</v>
      </c>
      <c r="E27" s="40"/>
      <c r="F27" s="537">
        <v>0</v>
      </c>
      <c r="G27" s="320">
        <v>3623</v>
      </c>
      <c r="H27" s="243">
        <v>0</v>
      </c>
      <c r="I27" s="244">
        <v>0</v>
      </c>
      <c r="J27" s="243">
        <v>0</v>
      </c>
      <c r="K27" s="243">
        <v>0</v>
      </c>
      <c r="L27" s="243">
        <v>0</v>
      </c>
      <c r="M27" s="244">
        <v>0</v>
      </c>
      <c r="N27" s="245">
        <v>0</v>
      </c>
      <c r="O27" s="244">
        <v>0</v>
      </c>
      <c r="P27" s="324"/>
      <c r="Q27" s="324"/>
      <c r="R27" s="289"/>
      <c r="S27" s="317">
        <f t="shared" si="6"/>
        <v>3623</v>
      </c>
      <c r="T27" s="243">
        <f t="shared" si="7"/>
        <v>0</v>
      </c>
      <c r="U27" s="340">
        <f>S27-T27</f>
        <v>3623</v>
      </c>
      <c r="V27" s="29" t="s">
        <v>54</v>
      </c>
      <c r="W27" s="331"/>
      <c r="X27" s="323">
        <f t="shared" si="8"/>
        <v>3623</v>
      </c>
      <c r="Y27" s="42">
        <v>0</v>
      </c>
      <c r="Z27" s="42">
        <v>0</v>
      </c>
      <c r="AA27" s="42">
        <v>0</v>
      </c>
      <c r="AB27" s="42">
        <v>0</v>
      </c>
      <c r="AC27" s="42">
        <v>0</v>
      </c>
      <c r="AD27" s="3"/>
      <c r="AE27" s="3"/>
      <c r="AF27" s="3"/>
      <c r="AI27" s="3"/>
    </row>
    <row r="28" spans="1:35" ht="12.75" customHeight="1">
      <c r="A28" s="8"/>
      <c r="B28" s="7"/>
      <c r="C28" s="333">
        <f t="shared" si="4"/>
        <v>-8318</v>
      </c>
      <c r="D28" s="255">
        <f t="shared" si="5"/>
        <v>-0.28982578397212544</v>
      </c>
      <c r="E28" s="40"/>
      <c r="F28" s="333">
        <f>SUM(F17:F27)</f>
        <v>20382</v>
      </c>
      <c r="G28" s="321">
        <f>SUM(G17:G27)</f>
        <v>52500</v>
      </c>
      <c r="H28" s="334">
        <v>22165</v>
      </c>
      <c r="I28" s="335">
        <f>SUM(I17:I27)</f>
        <v>24603</v>
      </c>
      <c r="J28" s="334">
        <v>28700</v>
      </c>
      <c r="K28" s="321">
        <v>23749</v>
      </c>
      <c r="L28" s="321">
        <v>23836</v>
      </c>
      <c r="M28" s="335">
        <v>25278</v>
      </c>
      <c r="N28" s="288">
        <v>23039</v>
      </c>
      <c r="O28" s="335">
        <v>20245</v>
      </c>
      <c r="P28" s="335">
        <v>19222</v>
      </c>
      <c r="Q28" s="335">
        <v>21797</v>
      </c>
      <c r="R28" s="289"/>
      <c r="S28" s="402">
        <f t="shared" si="6"/>
        <v>119650</v>
      </c>
      <c r="T28" s="412">
        <f t="shared" si="7"/>
        <v>101563</v>
      </c>
      <c r="U28" s="401">
        <f t="shared" si="1"/>
        <v>18087</v>
      </c>
      <c r="V28" s="255">
        <f t="shared" si="2"/>
        <v>0.17808650788180735</v>
      </c>
      <c r="W28" s="331"/>
      <c r="X28" s="333">
        <f>SUM(X17:X27)</f>
        <v>119650</v>
      </c>
      <c r="Y28" s="288">
        <v>101563</v>
      </c>
      <c r="Z28" s="335">
        <v>84303</v>
      </c>
      <c r="AA28" s="369">
        <v>16880</v>
      </c>
      <c r="AB28" s="369">
        <v>0</v>
      </c>
      <c r="AC28" s="369">
        <v>0</v>
      </c>
      <c r="AD28" s="3"/>
      <c r="AE28" s="3"/>
      <c r="AF28" s="3"/>
      <c r="AI28" s="3"/>
    </row>
    <row r="29" spans="1:35" s="106" customFormat="1" ht="12.75" customHeight="1" thickBot="1">
      <c r="A29" s="228" t="s">
        <v>151</v>
      </c>
      <c r="B29" s="227"/>
      <c r="C29" s="337">
        <f t="shared" si="4"/>
        <v>1461</v>
      </c>
      <c r="D29" s="268">
        <f t="shared" si="5"/>
        <v>-0.315482617145325</v>
      </c>
      <c r="E29" s="40"/>
      <c r="F29" s="337">
        <f aca="true" t="shared" si="9" ref="F29:N29">F15-F28</f>
        <v>-3170</v>
      </c>
      <c r="G29" s="338">
        <f t="shared" si="9"/>
        <v>-35967</v>
      </c>
      <c r="H29" s="338">
        <f t="shared" si="9"/>
        <v>-3881</v>
      </c>
      <c r="I29" s="550">
        <f t="shared" si="9"/>
        <v>1018</v>
      </c>
      <c r="J29" s="547">
        <f t="shared" si="9"/>
        <v>-4631</v>
      </c>
      <c r="K29" s="338">
        <f t="shared" si="9"/>
        <v>-642</v>
      </c>
      <c r="L29" s="338">
        <f t="shared" si="9"/>
        <v>-3182</v>
      </c>
      <c r="M29" s="550">
        <f t="shared" si="9"/>
        <v>1096</v>
      </c>
      <c r="N29" s="550">
        <f t="shared" si="9"/>
        <v>-3204</v>
      </c>
      <c r="O29" s="339">
        <v>-1632</v>
      </c>
      <c r="P29" s="339">
        <v>-477</v>
      </c>
      <c r="Q29" s="339">
        <v>2188</v>
      </c>
      <c r="R29" s="289"/>
      <c r="S29" s="404">
        <f t="shared" si="6"/>
        <v>-42000</v>
      </c>
      <c r="T29" s="405">
        <f t="shared" si="7"/>
        <v>-7359</v>
      </c>
      <c r="U29" s="406">
        <f t="shared" si="1"/>
        <v>-34641</v>
      </c>
      <c r="V29" s="268">
        <f>U29/T29*-1</f>
        <v>-4.707297187117815</v>
      </c>
      <c r="W29" s="331"/>
      <c r="X29" s="337">
        <f>X15-X28</f>
        <v>-42000</v>
      </c>
      <c r="Y29" s="337">
        <f>Y15-Y28</f>
        <v>-7359</v>
      </c>
      <c r="Z29" s="337">
        <f>Z15-Z28</f>
        <v>-3630</v>
      </c>
      <c r="AA29" s="337">
        <f>AA15-AA28</f>
        <v>3081</v>
      </c>
      <c r="AB29" s="391">
        <v>0</v>
      </c>
      <c r="AC29" s="391">
        <v>0</v>
      </c>
      <c r="AD29" s="3"/>
      <c r="AE29" s="296"/>
      <c r="AF29" s="296"/>
      <c r="AI29" s="296"/>
    </row>
    <row r="30" spans="1:35" s="106" customFormat="1" ht="12.75" customHeight="1" thickTop="1">
      <c r="A30" s="228"/>
      <c r="B30" s="227"/>
      <c r="C30" s="320"/>
      <c r="D30" s="40"/>
      <c r="E30" s="40"/>
      <c r="F30" s="320"/>
      <c r="G30" s="320"/>
      <c r="H30" s="320"/>
      <c r="I30" s="320"/>
      <c r="J30" s="320"/>
      <c r="K30" s="320"/>
      <c r="L30" s="320"/>
      <c r="M30" s="320"/>
      <c r="N30" s="320"/>
      <c r="O30" s="320"/>
      <c r="P30" s="320"/>
      <c r="Q30" s="320"/>
      <c r="R30" s="331"/>
      <c r="S30" s="329"/>
      <c r="T30" s="329"/>
      <c r="U30" s="320"/>
      <c r="V30" s="40"/>
      <c r="W30" s="331"/>
      <c r="X30" s="320"/>
      <c r="Y30" s="92"/>
      <c r="Z30" s="320"/>
      <c r="AA30" s="30"/>
      <c r="AB30" s="30"/>
      <c r="AC30" s="30"/>
      <c r="AD30" s="3"/>
      <c r="AE30" s="296"/>
      <c r="AF30" s="296"/>
      <c r="AI30" s="296"/>
    </row>
    <row r="31" spans="1:35" s="106" customFormat="1" ht="12.75" customHeight="1">
      <c r="A31" s="230" t="s">
        <v>153</v>
      </c>
      <c r="B31" s="227"/>
      <c r="C31" s="314">
        <f>(F31-J31)*100</f>
        <v>-10.640320706483847</v>
      </c>
      <c r="D31" s="34"/>
      <c r="E31" s="34"/>
      <c r="F31" s="34">
        <f>F17/F15</f>
        <v>0.4945967929351615</v>
      </c>
      <c r="G31" s="34">
        <f>G17/G15</f>
        <v>0.49041311316760416</v>
      </c>
      <c r="H31" s="34">
        <v>0.4598831175924409</v>
      </c>
      <c r="I31" s="34">
        <f>I17/I15</f>
        <v>0.4287888841184965</v>
      </c>
      <c r="J31" s="34">
        <v>0.601</v>
      </c>
      <c r="K31" s="34">
        <v>0.535</v>
      </c>
      <c r="L31" s="34">
        <v>0.459</v>
      </c>
      <c r="M31" s="34">
        <v>0.468</v>
      </c>
      <c r="N31" s="34">
        <v>0.527</v>
      </c>
      <c r="O31" s="34">
        <v>0.528</v>
      </c>
      <c r="P31" s="34">
        <v>0.498</v>
      </c>
      <c r="Q31" s="34">
        <v>0.538</v>
      </c>
      <c r="R31" s="34"/>
      <c r="S31" s="41">
        <f aca="true" t="shared" si="10" ref="S31:T35">X31</f>
        <v>0.4639665164198326</v>
      </c>
      <c r="T31" s="34">
        <f t="shared" si="10"/>
        <v>0.5163682593495074</v>
      </c>
      <c r="U31" s="314">
        <f>(S31-T31)*100</f>
        <v>-5.240174292967476</v>
      </c>
      <c r="V31" s="34"/>
      <c r="W31" s="34"/>
      <c r="X31" s="34">
        <f>X17/X15</f>
        <v>0.4639665164198326</v>
      </c>
      <c r="Y31" s="34">
        <v>0.5163682593495074</v>
      </c>
      <c r="Z31" s="34">
        <v>0.524</v>
      </c>
      <c r="AA31" s="372">
        <v>0.456</v>
      </c>
      <c r="AB31" s="372">
        <v>0</v>
      </c>
      <c r="AC31" s="372">
        <v>0</v>
      </c>
      <c r="AD31" s="3"/>
      <c r="AE31" s="296"/>
      <c r="AF31" s="296"/>
      <c r="AI31" s="296"/>
    </row>
    <row r="32" spans="1:35" s="106" customFormat="1" ht="12.75" customHeight="1">
      <c r="A32" s="230" t="s">
        <v>257</v>
      </c>
      <c r="B32" s="227"/>
      <c r="C32" s="314">
        <f>(F32-J32)*100</f>
        <v>-7.680060422960722</v>
      </c>
      <c r="D32" s="34"/>
      <c r="E32" s="34"/>
      <c r="F32" s="34">
        <f>(F17+F18)/F15</f>
        <v>0.5641993957703928</v>
      </c>
      <c r="G32" s="34">
        <f>(G17+G18)/G15</f>
        <v>0.5644468638480614</v>
      </c>
      <c r="H32" s="34">
        <v>0.5268447211753783</v>
      </c>
      <c r="I32" s="34">
        <f>(I17+I18)/I15</f>
        <v>0.48784200460559696</v>
      </c>
      <c r="J32" s="34">
        <v>0.641</v>
      </c>
      <c r="K32" s="34">
        <v>0.579</v>
      </c>
      <c r="L32" s="34">
        <v>0.519</v>
      </c>
      <c r="M32" s="34">
        <v>0.515</v>
      </c>
      <c r="N32" s="34">
        <v>0.594</v>
      </c>
      <c r="O32" s="34">
        <v>0.593</v>
      </c>
      <c r="P32" s="34">
        <v>0.542</v>
      </c>
      <c r="Q32" s="34">
        <v>0.611</v>
      </c>
      <c r="R32" s="34"/>
      <c r="S32" s="41">
        <f t="shared" si="10"/>
        <v>0.5304314230521571</v>
      </c>
      <c r="T32" s="34">
        <f t="shared" si="10"/>
        <v>0.5638626973196313</v>
      </c>
      <c r="U32" s="314">
        <f>(S32-T32)*100</f>
        <v>-3.3431274267474276</v>
      </c>
      <c r="V32" s="34"/>
      <c r="W32" s="34"/>
      <c r="X32" s="34">
        <f>(X17+X18)/X15</f>
        <v>0.5304314230521571</v>
      </c>
      <c r="Y32" s="34">
        <v>0.5638626973196313</v>
      </c>
      <c r="Z32" s="34">
        <v>0.587</v>
      </c>
      <c r="AA32" s="372">
        <v>0.536</v>
      </c>
      <c r="AB32" s="372">
        <v>0</v>
      </c>
      <c r="AC32" s="372">
        <v>0</v>
      </c>
      <c r="AD32" s="3"/>
      <c r="AE32" s="296"/>
      <c r="AF32" s="296"/>
      <c r="AI32" s="296"/>
    </row>
    <row r="33" spans="1:35" s="106" customFormat="1" ht="12.75" customHeight="1">
      <c r="A33" s="230" t="s">
        <v>155</v>
      </c>
      <c r="B33" s="227"/>
      <c r="C33" s="314">
        <f>(F33-J33)*100</f>
        <v>6.997443643969314</v>
      </c>
      <c r="D33" s="34"/>
      <c r="E33" s="34"/>
      <c r="F33" s="34">
        <f>(F19+F20+F21+F22+F23+F24+F25+F27+F26)/F15</f>
        <v>0.6199744364396932</v>
      </c>
      <c r="G33" s="34">
        <f>(G19+G20+G21+G22+G23+G24+G25+G27+G26)/G15</f>
        <v>2.6110203834754735</v>
      </c>
      <c r="H33" s="34">
        <v>0.683762084220875</v>
      </c>
      <c r="I33" s="34">
        <f>(I19+I20+I21+I22+I23+I24+I25)/I15</f>
        <v>0.4724249638968034</v>
      </c>
      <c r="J33" s="34">
        <v>0.55</v>
      </c>
      <c r="K33" s="34">
        <v>0.44799999999999995</v>
      </c>
      <c r="L33" s="34">
        <v>0.63</v>
      </c>
      <c r="M33" s="34">
        <v>0.44199999999999995</v>
      </c>
      <c r="N33" s="34">
        <v>0.5630000000000001</v>
      </c>
      <c r="O33" s="34">
        <v>0.495</v>
      </c>
      <c r="P33" s="34">
        <v>0.4829999999999999</v>
      </c>
      <c r="Q33" s="34">
        <v>0.29800000000000004</v>
      </c>
      <c r="R33" s="34"/>
      <c r="S33" s="41">
        <f t="shared" si="10"/>
        <v>1.0104571796522859</v>
      </c>
      <c r="T33" s="34">
        <f t="shared" si="10"/>
        <v>0.5121305223010912</v>
      </c>
      <c r="U33" s="314">
        <f>(S33-T33)*100</f>
        <v>49.83266573511946</v>
      </c>
      <c r="V33" s="34"/>
      <c r="W33" s="34"/>
      <c r="X33" s="34">
        <f>(X19+X20+X21+X22+X23+X24+X25+X27+X26)/X15</f>
        <v>1.0104571796522859</v>
      </c>
      <c r="Y33" s="34">
        <v>0.5121305223010912</v>
      </c>
      <c r="Z33" s="34">
        <v>0.45</v>
      </c>
      <c r="AA33" s="372">
        <v>0.30599999999999994</v>
      </c>
      <c r="AB33" s="372">
        <v>0</v>
      </c>
      <c r="AC33" s="372">
        <v>0</v>
      </c>
      <c r="AD33" s="3"/>
      <c r="AE33" s="296"/>
      <c r="AF33" s="296"/>
      <c r="AI33" s="296"/>
    </row>
    <row r="34" spans="1:35" s="106" customFormat="1" ht="12.75" customHeight="1">
      <c r="A34" s="230" t="s">
        <v>156</v>
      </c>
      <c r="B34" s="227"/>
      <c r="C34" s="314">
        <f>(F34-J34)*100</f>
        <v>-0.6826167789913962</v>
      </c>
      <c r="D34" s="34"/>
      <c r="E34" s="34"/>
      <c r="F34" s="34">
        <f>F28/F15</f>
        <v>1.184173832210086</v>
      </c>
      <c r="G34" s="34">
        <f>G28/G15</f>
        <v>3.175467247323535</v>
      </c>
      <c r="H34" s="34">
        <v>1.2106068053962533</v>
      </c>
      <c r="I34" s="34">
        <f>I28/I15</f>
        <v>0.9602669685024003</v>
      </c>
      <c r="J34" s="34">
        <v>1.191</v>
      </c>
      <c r="K34" s="34">
        <v>1.027</v>
      </c>
      <c r="L34" s="34">
        <v>1.149</v>
      </c>
      <c r="M34" s="34">
        <v>0.957</v>
      </c>
      <c r="N34" s="34">
        <v>1.157</v>
      </c>
      <c r="O34" s="34">
        <v>1.088</v>
      </c>
      <c r="P34" s="34">
        <v>1.025</v>
      </c>
      <c r="Q34" s="34">
        <v>0.909</v>
      </c>
      <c r="R34" s="34"/>
      <c r="S34" s="41">
        <f t="shared" si="10"/>
        <v>1.540888602704443</v>
      </c>
      <c r="T34" s="34">
        <f t="shared" si="10"/>
        <v>1.0759932196207225</v>
      </c>
      <c r="U34" s="314">
        <f>(S34-T34)*100</f>
        <v>46.48953830837206</v>
      </c>
      <c r="V34" s="34"/>
      <c r="W34" s="34"/>
      <c r="X34" s="34">
        <f>X28/X15</f>
        <v>1.540888602704443</v>
      </c>
      <c r="Y34" s="34">
        <v>1.0759932196207225</v>
      </c>
      <c r="Z34" s="34">
        <v>1.037</v>
      </c>
      <c r="AA34" s="372">
        <v>0.842</v>
      </c>
      <c r="AB34" s="372">
        <v>0</v>
      </c>
      <c r="AC34" s="372">
        <v>0</v>
      </c>
      <c r="AD34" s="3"/>
      <c r="AE34" s="296"/>
      <c r="AF34" s="296"/>
      <c r="AI34" s="296"/>
    </row>
    <row r="35" spans="1:35" s="106" customFormat="1" ht="12.75" customHeight="1">
      <c r="A35" s="230" t="s">
        <v>157</v>
      </c>
      <c r="B35" s="227"/>
      <c r="C35" s="314">
        <f>(F35-J35)*100</f>
        <v>0.6826167789914073</v>
      </c>
      <c r="D35" s="34"/>
      <c r="E35" s="34"/>
      <c r="F35" s="34">
        <f>F29/F15</f>
        <v>-0.18417383221008599</v>
      </c>
      <c r="G35" s="34">
        <f>G29/G15</f>
        <v>-2.175467247323535</v>
      </c>
      <c r="H35" s="34">
        <v>-0.2106068053962532</v>
      </c>
      <c r="I35" s="34">
        <f>I29/I15</f>
        <v>0.03973303149759962</v>
      </c>
      <c r="J35" s="34">
        <v>-0.19100000000000006</v>
      </c>
      <c r="K35" s="34">
        <v>-0.026999999999999913</v>
      </c>
      <c r="L35" s="34">
        <v>-0.14900000000000002</v>
      </c>
      <c r="M35" s="34">
        <v>0.04300000000000004</v>
      </c>
      <c r="N35" s="34">
        <v>-0.15700000000000003</v>
      </c>
      <c r="O35" s="34">
        <v>-0.08800000000000008</v>
      </c>
      <c r="P35" s="34">
        <v>-0.02499999999999991</v>
      </c>
      <c r="Q35" s="34">
        <v>0.09099999999999997</v>
      </c>
      <c r="R35" s="34"/>
      <c r="S35" s="34">
        <f t="shared" si="10"/>
        <v>-0.5408886027044431</v>
      </c>
      <c r="T35" s="34">
        <f t="shared" si="10"/>
        <v>-0.07599321962072253</v>
      </c>
      <c r="U35" s="314">
        <f>(S35-T35)*100</f>
        <v>-46.489538308372055</v>
      </c>
      <c r="V35" s="34"/>
      <c r="W35" s="34"/>
      <c r="X35" s="34">
        <f>X29/X15</f>
        <v>-0.5408886027044431</v>
      </c>
      <c r="Y35" s="34">
        <v>-0.07599321962072253</v>
      </c>
      <c r="Z35" s="34">
        <v>-0.03699999999999992</v>
      </c>
      <c r="AA35" s="372">
        <v>0.15800000000000003</v>
      </c>
      <c r="AB35" s="372">
        <v>0</v>
      </c>
      <c r="AC35" s="372">
        <v>0</v>
      </c>
      <c r="AD35" s="3"/>
      <c r="AE35" s="296"/>
      <c r="AF35" s="296"/>
      <c r="AI35" s="296"/>
    </row>
    <row r="36" spans="1:35" s="106" customFormat="1" ht="12.75" customHeight="1">
      <c r="A36" s="228"/>
      <c r="B36" s="227"/>
      <c r="C36" s="34"/>
      <c r="D36" s="34"/>
      <c r="E36" s="34"/>
      <c r="F36" s="34"/>
      <c r="G36" s="34"/>
      <c r="H36" s="34"/>
      <c r="I36" s="92"/>
      <c r="J36" s="92"/>
      <c r="K36" s="92"/>
      <c r="L36" s="92"/>
      <c r="M36" s="92"/>
      <c r="N36" s="92"/>
      <c r="O36" s="92"/>
      <c r="P36" s="92"/>
      <c r="Q36" s="92"/>
      <c r="R36" s="34"/>
      <c r="S36" s="34"/>
      <c r="T36" s="34"/>
      <c r="U36" s="34"/>
      <c r="V36" s="34"/>
      <c r="W36" s="34"/>
      <c r="X36" s="34"/>
      <c r="Y36" s="92"/>
      <c r="Z36" s="92"/>
      <c r="AA36" s="372"/>
      <c r="AB36" s="372"/>
      <c r="AC36" s="372"/>
      <c r="AD36" s="3"/>
      <c r="AE36" s="296"/>
      <c r="AF36" s="296"/>
      <c r="AI36" s="296"/>
    </row>
    <row r="37" spans="1:35" s="106" customFormat="1" ht="12.75" customHeight="1">
      <c r="A37" s="92" t="s">
        <v>179</v>
      </c>
      <c r="B37" s="227"/>
      <c r="C37" s="252">
        <f>F37-J37</f>
        <v>-12</v>
      </c>
      <c r="D37" s="40">
        <f>C37/J37</f>
        <v>-0.0736196319018405</v>
      </c>
      <c r="E37" s="40"/>
      <c r="F37" s="233">
        <f>'10 Misc Operating Stats'!F21</f>
        <v>151</v>
      </c>
      <c r="G37" s="92">
        <f>'10 Misc Operating Stats'!G21</f>
        <v>152</v>
      </c>
      <c r="H37" s="92">
        <v>176</v>
      </c>
      <c r="I37" s="92">
        <f>'10 Misc Operating Stats'!I21</f>
        <v>169</v>
      </c>
      <c r="J37" s="92">
        <v>163</v>
      </c>
      <c r="K37" s="92">
        <v>161</v>
      </c>
      <c r="L37" s="92">
        <v>162</v>
      </c>
      <c r="M37" s="92">
        <v>170</v>
      </c>
      <c r="N37" s="92">
        <v>163</v>
      </c>
      <c r="O37" s="92">
        <v>170</v>
      </c>
      <c r="P37" s="92">
        <v>164</v>
      </c>
      <c r="Q37" s="92">
        <v>154</v>
      </c>
      <c r="R37" s="331"/>
      <c r="S37" s="92">
        <f>X37</f>
        <v>151</v>
      </c>
      <c r="T37" s="252">
        <f>Y37</f>
        <v>163</v>
      </c>
      <c r="U37" s="252">
        <f>S37-T37</f>
        <v>-12</v>
      </c>
      <c r="V37" s="40">
        <f>U37/T37</f>
        <v>-0.0736196319018405</v>
      </c>
      <c r="W37" s="331"/>
      <c r="X37" s="92">
        <f>'10 Misc Operating Stats'!X21</f>
        <v>151</v>
      </c>
      <c r="Y37" s="92">
        <v>163</v>
      </c>
      <c r="Z37" s="92">
        <v>163</v>
      </c>
      <c r="AA37" s="366">
        <v>150</v>
      </c>
      <c r="AB37" s="366">
        <v>0</v>
      </c>
      <c r="AC37" s="366">
        <v>0</v>
      </c>
      <c r="AD37" s="3"/>
      <c r="AE37" s="296"/>
      <c r="AF37" s="296"/>
      <c r="AI37" s="296"/>
    </row>
    <row r="38" spans="1:35" s="106" customFormat="1" ht="12.75" customHeight="1">
      <c r="A38" s="92"/>
      <c r="B38" s="227"/>
      <c r="C38" s="252"/>
      <c r="D38" s="40"/>
      <c r="E38" s="40"/>
      <c r="F38" s="233"/>
      <c r="G38" s="92"/>
      <c r="H38" s="92"/>
      <c r="I38" s="92"/>
      <c r="J38" s="92"/>
      <c r="K38" s="92"/>
      <c r="L38" s="92"/>
      <c r="M38" s="92"/>
      <c r="N38" s="92"/>
      <c r="O38" s="92"/>
      <c r="P38" s="92"/>
      <c r="Q38" s="92"/>
      <c r="R38" s="331"/>
      <c r="S38" s="92"/>
      <c r="T38" s="252"/>
      <c r="U38" s="92"/>
      <c r="V38" s="40"/>
      <c r="W38" s="331"/>
      <c r="X38" s="32"/>
      <c r="Y38" s="92"/>
      <c r="Z38" s="92"/>
      <c r="AA38" s="366"/>
      <c r="AB38" s="366"/>
      <c r="AC38" s="366"/>
      <c r="AD38" s="3"/>
      <c r="AE38" s="296"/>
      <c r="AF38" s="296"/>
      <c r="AI38" s="296"/>
    </row>
    <row r="39" spans="1:35" ht="18" customHeight="1">
      <c r="A39" s="12" t="s">
        <v>280</v>
      </c>
      <c r="B39" s="7"/>
      <c r="C39" s="92"/>
      <c r="D39" s="92"/>
      <c r="E39" s="233"/>
      <c r="F39" s="233"/>
      <c r="G39" s="233"/>
      <c r="H39" s="233"/>
      <c r="I39" s="233"/>
      <c r="J39" s="233"/>
      <c r="K39" s="233"/>
      <c r="L39" s="92"/>
      <c r="M39" s="92"/>
      <c r="N39" s="92"/>
      <c r="O39" s="92"/>
      <c r="P39" s="92"/>
      <c r="Q39" s="92"/>
      <c r="R39" s="92"/>
      <c r="S39" s="233"/>
      <c r="T39" s="233"/>
      <c r="U39" s="233"/>
      <c r="V39" s="233"/>
      <c r="W39" s="92"/>
      <c r="X39" s="92"/>
      <c r="Y39" s="92"/>
      <c r="Z39" s="92"/>
      <c r="AA39" s="371"/>
      <c r="AB39" s="371"/>
      <c r="AC39" s="371"/>
      <c r="AD39" s="3"/>
      <c r="AE39" s="3"/>
      <c r="AF39" s="3"/>
      <c r="AI39" s="3"/>
    </row>
    <row r="40" spans="1:35" ht="12.75" customHeight="1">
      <c r="A40" s="279"/>
      <c r="B40" s="7"/>
      <c r="C40" s="92"/>
      <c r="D40" s="92"/>
      <c r="E40" s="233"/>
      <c r="F40" s="532"/>
      <c r="G40" s="233"/>
      <c r="H40" s="233"/>
      <c r="I40" s="233"/>
      <c r="J40" s="233"/>
      <c r="K40" s="233"/>
      <c r="L40" s="92"/>
      <c r="M40" s="92"/>
      <c r="N40" s="92"/>
      <c r="O40" s="92"/>
      <c r="P40" s="92"/>
      <c r="Q40" s="92"/>
      <c r="R40" s="92"/>
      <c r="S40" s="233"/>
      <c r="T40" s="233"/>
      <c r="U40" s="233"/>
      <c r="V40" s="233"/>
      <c r="W40" s="92"/>
      <c r="X40" s="92"/>
      <c r="Y40" s="92"/>
      <c r="Z40" s="92"/>
      <c r="AA40" s="371"/>
      <c r="AB40" s="371"/>
      <c r="AC40" s="371"/>
      <c r="AD40" s="3"/>
      <c r="AE40" s="3"/>
      <c r="AF40" s="3"/>
      <c r="AI40" s="3"/>
    </row>
    <row r="41" spans="1:35" ht="12.75" customHeight="1">
      <c r="A41" s="6"/>
      <c r="B41" s="7"/>
      <c r="C41" s="611" t="str">
        <f>C9</f>
        <v>Q4/09 vs. Q4/08</v>
      </c>
      <c r="D41" s="629"/>
      <c r="E41" s="15"/>
      <c r="F41" s="282"/>
      <c r="G41" s="281"/>
      <c r="H41" s="281"/>
      <c r="I41" s="250"/>
      <c r="J41" s="281"/>
      <c r="K41" s="281"/>
      <c r="L41" s="281"/>
      <c r="M41" s="281"/>
      <c r="N41" s="280"/>
      <c r="O41" s="250"/>
      <c r="P41" s="250"/>
      <c r="Q41" s="250"/>
      <c r="R41" s="99"/>
      <c r="S41" s="611" t="str">
        <f>S9</f>
        <v>FY09 vs FY08</v>
      </c>
      <c r="T41" s="640"/>
      <c r="U41" s="640"/>
      <c r="V41" s="641"/>
      <c r="W41" s="15"/>
      <c r="X41" s="98"/>
      <c r="Y41" s="282"/>
      <c r="Z41" s="280"/>
      <c r="AA41" s="98"/>
      <c r="AB41" s="98"/>
      <c r="AC41" s="98"/>
      <c r="AD41" s="3"/>
      <c r="AE41" s="3"/>
      <c r="AF41" s="3"/>
      <c r="AI41" s="3"/>
    </row>
    <row r="42" spans="1:35" ht="12.75" customHeight="1">
      <c r="A42" s="6" t="s">
        <v>199</v>
      </c>
      <c r="B42" s="7"/>
      <c r="C42" s="635" t="s">
        <v>250</v>
      </c>
      <c r="D42" s="636"/>
      <c r="E42" s="283"/>
      <c r="F42" s="20" t="s">
        <v>166</v>
      </c>
      <c r="G42" s="21" t="s">
        <v>167</v>
      </c>
      <c r="H42" s="21" t="s">
        <v>168</v>
      </c>
      <c r="I42" s="14" t="s">
        <v>42</v>
      </c>
      <c r="J42" s="15" t="s">
        <v>43</v>
      </c>
      <c r="K42" s="15" t="s">
        <v>44</v>
      </c>
      <c r="L42" s="15" t="s">
        <v>45</v>
      </c>
      <c r="M42" s="15" t="s">
        <v>46</v>
      </c>
      <c r="N42" s="345" t="s">
        <v>47</v>
      </c>
      <c r="O42" s="319" t="s">
        <v>48</v>
      </c>
      <c r="P42" s="319" t="s">
        <v>49</v>
      </c>
      <c r="Q42" s="319" t="s">
        <v>50</v>
      </c>
      <c r="R42" s="345"/>
      <c r="S42" s="318" t="str">
        <f>S10</f>
        <v>FY09</v>
      </c>
      <c r="T42" s="15" t="str">
        <f>T10</f>
        <v>FY08</v>
      </c>
      <c r="U42" s="637" t="s">
        <v>51</v>
      </c>
      <c r="V42" s="638"/>
      <c r="W42" s="283"/>
      <c r="X42" s="20" t="s">
        <v>55</v>
      </c>
      <c r="Y42" s="20" t="s">
        <v>52</v>
      </c>
      <c r="Z42" s="23" t="s">
        <v>53</v>
      </c>
      <c r="AA42" s="23" t="s">
        <v>242</v>
      </c>
      <c r="AB42" s="23" t="s">
        <v>243</v>
      </c>
      <c r="AC42" s="23" t="s">
        <v>249</v>
      </c>
      <c r="AD42" s="3"/>
      <c r="AE42" s="3"/>
      <c r="AF42" s="3"/>
      <c r="AI42" s="3"/>
    </row>
    <row r="43" spans="1:35" ht="12.75" customHeight="1">
      <c r="A43" s="232"/>
      <c r="B43" s="233" t="s">
        <v>4</v>
      </c>
      <c r="C43" s="527">
        <f>F43-J43</f>
        <v>-6857</v>
      </c>
      <c r="D43" s="418">
        <f>C43/J43</f>
        <v>-0.2848892766629274</v>
      </c>
      <c r="E43" s="233"/>
      <c r="F43" s="316">
        <f>F15</f>
        <v>17212</v>
      </c>
      <c r="G43" s="400">
        <f aca="true" t="shared" si="11" ref="G43:N43">G15</f>
        <v>16533</v>
      </c>
      <c r="H43" s="400">
        <f t="shared" si="11"/>
        <v>18284</v>
      </c>
      <c r="I43" s="463">
        <f t="shared" si="11"/>
        <v>25621</v>
      </c>
      <c r="J43" s="321">
        <f t="shared" si="11"/>
        <v>24069</v>
      </c>
      <c r="K43" s="321">
        <f t="shared" si="11"/>
        <v>23107</v>
      </c>
      <c r="L43" s="321">
        <f t="shared" si="11"/>
        <v>20654</v>
      </c>
      <c r="M43" s="322">
        <f t="shared" si="11"/>
        <v>26374</v>
      </c>
      <c r="N43" s="343">
        <f t="shared" si="11"/>
        <v>19835</v>
      </c>
      <c r="O43" s="322">
        <f>O15</f>
        <v>18613</v>
      </c>
      <c r="P43" s="322">
        <v>7372</v>
      </c>
      <c r="Q43" s="322">
        <v>8735</v>
      </c>
      <c r="R43" s="99"/>
      <c r="S43" s="316">
        <f aca="true" t="shared" si="12" ref="S43:T45">X43</f>
        <v>77650</v>
      </c>
      <c r="T43" s="416">
        <f t="shared" si="12"/>
        <v>94204</v>
      </c>
      <c r="U43" s="417">
        <f>S43-T43</f>
        <v>-16554</v>
      </c>
      <c r="V43" s="418">
        <f>U43/T43</f>
        <v>-0.17572502229204703</v>
      </c>
      <c r="W43" s="92"/>
      <c r="X43" s="265">
        <f>F43+G43+H43+I43</f>
        <v>77650</v>
      </c>
      <c r="Y43" s="287">
        <f>Y15</f>
        <v>94204</v>
      </c>
      <c r="Z43" s="287">
        <f>Z15</f>
        <v>80673</v>
      </c>
      <c r="AA43" s="385">
        <f>AA15</f>
        <v>19961</v>
      </c>
      <c r="AB43" s="385">
        <f>AB15</f>
        <v>0</v>
      </c>
      <c r="AC43" s="385">
        <f>AC15</f>
        <v>0</v>
      </c>
      <c r="AD43" s="3"/>
      <c r="AE43" s="3"/>
      <c r="AF43" s="3"/>
      <c r="AI43" s="3"/>
    </row>
    <row r="44" spans="1:35" ht="12.75" customHeight="1">
      <c r="A44" s="92"/>
      <c r="B44" s="233" t="s">
        <v>163</v>
      </c>
      <c r="C44" s="93">
        <f>F44-J44</f>
        <v>-8318</v>
      </c>
      <c r="D44" s="44">
        <f>C44/J44</f>
        <v>-0.28982578397212544</v>
      </c>
      <c r="E44" s="11"/>
      <c r="F44" s="503">
        <f>F28-F27-F26</f>
        <v>20382</v>
      </c>
      <c r="G44" s="530">
        <f>G28-G27-G26</f>
        <v>21311</v>
      </c>
      <c r="H44" s="530">
        <f aca="true" t="shared" si="13" ref="H44:N44">H28</f>
        <v>22165</v>
      </c>
      <c r="I44" s="463">
        <f t="shared" si="13"/>
        <v>24603</v>
      </c>
      <c r="J44" s="320">
        <f t="shared" si="13"/>
        <v>28700</v>
      </c>
      <c r="K44" s="320">
        <f t="shared" si="13"/>
        <v>23749</v>
      </c>
      <c r="L44" s="320">
        <f t="shared" si="13"/>
        <v>23836</v>
      </c>
      <c r="M44" s="324">
        <f t="shared" si="13"/>
        <v>25278</v>
      </c>
      <c r="N44" s="287">
        <f t="shared" si="13"/>
        <v>23039</v>
      </c>
      <c r="O44" s="324">
        <f>O28</f>
        <v>20245</v>
      </c>
      <c r="P44" s="324">
        <v>18732</v>
      </c>
      <c r="Q44" s="324">
        <v>20213</v>
      </c>
      <c r="R44" s="99"/>
      <c r="S44" s="317">
        <f t="shared" si="12"/>
        <v>88461</v>
      </c>
      <c r="T44" s="400">
        <f t="shared" si="12"/>
        <v>101563</v>
      </c>
      <c r="U44" s="238">
        <f>S44-T44</f>
        <v>-13102</v>
      </c>
      <c r="V44" s="44">
        <f>U44/T44</f>
        <v>-0.12900367259730414</v>
      </c>
      <c r="W44" s="92"/>
      <c r="X44" s="265">
        <f>F44+G44+H44+I44</f>
        <v>88461</v>
      </c>
      <c r="Y44" s="287">
        <f>Y28</f>
        <v>101563</v>
      </c>
      <c r="Z44" s="287">
        <f>Z28</f>
        <v>84303</v>
      </c>
      <c r="AA44" s="37">
        <f>AA28</f>
        <v>16880</v>
      </c>
      <c r="AB44" s="42">
        <f>AB28</f>
        <v>0</v>
      </c>
      <c r="AC44" s="42">
        <f>AC28</f>
        <v>0</v>
      </c>
      <c r="AD44" s="3"/>
      <c r="AE44" s="3"/>
      <c r="AF44" s="3"/>
      <c r="AI44" s="3"/>
    </row>
    <row r="45" spans="1:35" ht="12.75" customHeight="1">
      <c r="A45" s="92"/>
      <c r="B45" s="233" t="s">
        <v>151</v>
      </c>
      <c r="C45" s="239">
        <f>F45-J45</f>
        <v>1461</v>
      </c>
      <c r="D45" s="240">
        <f>C45/J45</f>
        <v>-0.315482617145325</v>
      </c>
      <c r="E45" s="11"/>
      <c r="F45" s="554">
        <f aca="true" t="shared" si="14" ref="F45:N45">F43-F44</f>
        <v>-3170</v>
      </c>
      <c r="G45" s="543">
        <f t="shared" si="14"/>
        <v>-4778</v>
      </c>
      <c r="H45" s="543">
        <f t="shared" si="14"/>
        <v>-3881</v>
      </c>
      <c r="I45" s="465">
        <f t="shared" si="14"/>
        <v>1018</v>
      </c>
      <c r="J45" s="326">
        <f t="shared" si="14"/>
        <v>-4631</v>
      </c>
      <c r="K45" s="326">
        <f t="shared" si="14"/>
        <v>-642</v>
      </c>
      <c r="L45" s="326">
        <f t="shared" si="14"/>
        <v>-3182</v>
      </c>
      <c r="M45" s="327">
        <f t="shared" si="14"/>
        <v>1096</v>
      </c>
      <c r="N45" s="293">
        <f t="shared" si="14"/>
        <v>-3204</v>
      </c>
      <c r="O45" s="327">
        <f>O43-O44</f>
        <v>-1632</v>
      </c>
      <c r="P45" s="327">
        <v>-11360</v>
      </c>
      <c r="Q45" s="327">
        <v>-11478</v>
      </c>
      <c r="R45" s="99"/>
      <c r="S45" s="315">
        <f t="shared" si="12"/>
        <v>-10811</v>
      </c>
      <c r="T45" s="412">
        <f t="shared" si="12"/>
        <v>-7359</v>
      </c>
      <c r="U45" s="419">
        <f>S45-T45</f>
        <v>-3452</v>
      </c>
      <c r="V45" s="240">
        <f>U45/T45*-1</f>
        <v>-0.4690854735697785</v>
      </c>
      <c r="W45" s="92"/>
      <c r="X45" s="284">
        <f>F45+G45+H45+I45</f>
        <v>-10811</v>
      </c>
      <c r="Y45" s="293">
        <f>Y43-Y44</f>
        <v>-7359</v>
      </c>
      <c r="Z45" s="293">
        <f>Z43-Z44</f>
        <v>-3630</v>
      </c>
      <c r="AA45" s="245">
        <f>AA43-AA44</f>
        <v>3081</v>
      </c>
      <c r="AB45" s="245">
        <f>AB43-AB44</f>
        <v>0</v>
      </c>
      <c r="AC45" s="245">
        <f>AC43-AC44</f>
        <v>0</v>
      </c>
      <c r="AD45" s="3"/>
      <c r="AE45" s="3"/>
      <c r="AF45" s="3"/>
      <c r="AI45" s="3"/>
    </row>
    <row r="46" spans="1:35" ht="12.75" customHeight="1">
      <c r="A46" s="229"/>
      <c r="B46" s="229"/>
      <c r="C46" s="340"/>
      <c r="D46" s="40"/>
      <c r="E46" s="40"/>
      <c r="F46" s="40"/>
      <c r="G46" s="40"/>
      <c r="H46" s="40"/>
      <c r="I46" s="2"/>
      <c r="J46" s="3"/>
      <c r="K46" s="3"/>
      <c r="M46" s="3"/>
      <c r="N46" s="3"/>
      <c r="O46" s="3"/>
      <c r="Q46" s="320"/>
      <c r="R46" s="329"/>
      <c r="S46" s="329"/>
      <c r="T46" s="329"/>
      <c r="U46" s="340"/>
      <c r="V46" s="40"/>
      <c r="W46" s="329"/>
      <c r="X46" s="329"/>
      <c r="AD46" s="3"/>
      <c r="AE46" s="3"/>
      <c r="AF46" s="3"/>
      <c r="AI46" s="3"/>
    </row>
    <row r="47" spans="1:32" ht="12.75" customHeight="1">
      <c r="A47" s="1" t="s">
        <v>41</v>
      </c>
      <c r="B47" s="13"/>
      <c r="C47" s="341"/>
      <c r="D47" s="341"/>
      <c r="E47" s="341"/>
      <c r="F47" s="341"/>
      <c r="G47" s="341"/>
      <c r="H47" s="341"/>
      <c r="I47" s="2"/>
      <c r="M47" s="2"/>
      <c r="O47" s="2"/>
      <c r="P47" s="2"/>
      <c r="Q47" s="342"/>
      <c r="R47" s="329"/>
      <c r="S47" s="329"/>
      <c r="T47" s="329"/>
      <c r="U47" s="329"/>
      <c r="V47" s="329"/>
      <c r="W47" s="331"/>
      <c r="X47" s="331"/>
      <c r="AD47" s="3"/>
      <c r="AE47" s="3"/>
      <c r="AF47" s="3"/>
    </row>
    <row r="48" spans="1:32" ht="12.75">
      <c r="A48" s="3"/>
      <c r="B48" s="3"/>
      <c r="C48" s="329"/>
      <c r="D48" s="329"/>
      <c r="E48" s="329"/>
      <c r="F48" s="329"/>
      <c r="G48" s="329"/>
      <c r="H48" s="329"/>
      <c r="I48" s="31"/>
      <c r="J48" s="43"/>
      <c r="K48" s="31"/>
      <c r="M48" s="31"/>
      <c r="N48" s="36"/>
      <c r="O48" s="36"/>
      <c r="P48" s="33"/>
      <c r="Q48" s="341"/>
      <c r="R48" s="329"/>
      <c r="S48" s="329"/>
      <c r="T48" s="329"/>
      <c r="U48" s="329"/>
      <c r="V48" s="329"/>
      <c r="W48" s="331"/>
      <c r="X48" s="331"/>
      <c r="Y48" s="340"/>
      <c r="Z48" s="340"/>
      <c r="AB48" s="371"/>
      <c r="AC48" s="371"/>
      <c r="AD48" s="3"/>
      <c r="AE48" s="3"/>
      <c r="AF48" s="3"/>
    </row>
    <row r="49" spans="3:32" ht="12.75">
      <c r="C49" s="92"/>
      <c r="D49" s="92"/>
      <c r="E49" s="233"/>
      <c r="F49" s="233"/>
      <c r="G49" s="233"/>
      <c r="H49" s="233"/>
      <c r="I49" s="329"/>
      <c r="J49" s="331"/>
      <c r="K49" s="331"/>
      <c r="L49" s="331"/>
      <c r="M49" s="320"/>
      <c r="N49" s="320"/>
      <c r="O49" s="320"/>
      <c r="P49" s="320"/>
      <c r="Q49" s="30"/>
      <c r="R49" s="233"/>
      <c r="S49" s="233"/>
      <c r="T49" s="233"/>
      <c r="U49" s="233"/>
      <c r="V49" s="233"/>
      <c r="W49" s="92"/>
      <c r="X49" s="92"/>
      <c r="Y49" s="30"/>
      <c r="Z49" s="30"/>
      <c r="AD49" s="3"/>
      <c r="AE49" s="3"/>
      <c r="AF49" s="3"/>
    </row>
    <row r="50" spans="3:32" ht="12.75">
      <c r="C50" s="92"/>
      <c r="D50" s="92"/>
      <c r="E50" s="233"/>
      <c r="F50" s="233"/>
      <c r="G50" s="233"/>
      <c r="H50" s="233"/>
      <c r="Q50" s="30"/>
      <c r="R50" s="233"/>
      <c r="S50" s="233"/>
      <c r="T50" s="233"/>
      <c r="U50" s="233"/>
      <c r="V50" s="233"/>
      <c r="W50" s="92"/>
      <c r="X50" s="92"/>
      <c r="Y50" s="30"/>
      <c r="Z50" s="30"/>
      <c r="AD50" s="3"/>
      <c r="AE50" s="3"/>
      <c r="AF50" s="3"/>
    </row>
    <row r="51" spans="3:26" ht="12.75">
      <c r="C51" s="92"/>
      <c r="D51" s="92"/>
      <c r="E51" s="233"/>
      <c r="F51" s="233"/>
      <c r="G51" s="233"/>
      <c r="H51" s="233"/>
      <c r="Q51" s="30"/>
      <c r="R51" s="233"/>
      <c r="S51" s="233"/>
      <c r="T51" s="233"/>
      <c r="U51" s="233"/>
      <c r="V51" s="233"/>
      <c r="W51" s="92"/>
      <c r="X51" s="92"/>
      <c r="Y51" s="30"/>
      <c r="Z51" s="30"/>
    </row>
    <row r="52" spans="3:26" ht="12.75">
      <c r="C52" s="92"/>
      <c r="D52" s="92"/>
      <c r="E52" s="233"/>
      <c r="F52" s="233"/>
      <c r="G52" s="233"/>
      <c r="H52" s="233"/>
      <c r="Q52" s="30"/>
      <c r="R52" s="233"/>
      <c r="S52" s="233"/>
      <c r="T52" s="233"/>
      <c r="U52" s="233"/>
      <c r="V52" s="233"/>
      <c r="W52" s="92"/>
      <c r="X52" s="92"/>
      <c r="Y52" s="7"/>
      <c r="Z52" s="7"/>
    </row>
    <row r="53" spans="17:26" ht="12.75">
      <c r="Q53" s="11"/>
      <c r="R53" s="3"/>
      <c r="S53" s="3"/>
      <c r="T53" s="3"/>
      <c r="Y53" s="31"/>
      <c r="Z53" s="31"/>
    </row>
    <row r="54" spans="17:26" ht="12.75">
      <c r="Q54" s="32"/>
      <c r="R54" s="3"/>
      <c r="S54" s="3"/>
      <c r="T54" s="3"/>
      <c r="Y54" s="2"/>
      <c r="Z54" s="2"/>
    </row>
    <row r="55" spans="17:26" ht="12.75">
      <c r="Q55" s="237"/>
      <c r="R55" s="3"/>
      <c r="S55" s="3"/>
      <c r="T55" s="3"/>
      <c r="Y55" s="2"/>
      <c r="Z55" s="2"/>
    </row>
    <row r="56" spans="17:26" ht="12.75">
      <c r="Q56" s="2"/>
      <c r="R56" s="3"/>
      <c r="S56" s="3"/>
      <c r="T56" s="3"/>
      <c r="Y56" s="50"/>
      <c r="Z56" s="50"/>
    </row>
    <row r="57" spans="17:26" ht="12.75">
      <c r="Q57" s="1"/>
      <c r="R57" s="3"/>
      <c r="S57" s="3"/>
      <c r="T57" s="3"/>
      <c r="Y57" s="50"/>
      <c r="Z57" s="50"/>
    </row>
    <row r="58" spans="17:26" ht="12.75">
      <c r="Q58" s="31"/>
      <c r="R58" s="3"/>
      <c r="S58" s="3"/>
      <c r="T58" s="3"/>
      <c r="Y58" s="51"/>
      <c r="Z58" s="51"/>
    </row>
    <row r="59" spans="17:26" ht="12.75">
      <c r="Q59" s="46"/>
      <c r="R59" s="3"/>
      <c r="S59" s="3"/>
      <c r="T59" s="3"/>
      <c r="Y59" s="52"/>
      <c r="Z59" s="52"/>
    </row>
    <row r="60" spans="17:26" ht="12.75">
      <c r="Q60" s="46"/>
      <c r="R60" s="3"/>
      <c r="S60" s="3"/>
      <c r="T60" s="3"/>
      <c r="Y60" s="34"/>
      <c r="Z60" s="34"/>
    </row>
    <row r="61" spans="17:26" ht="12.75">
      <c r="Q61" s="40"/>
      <c r="R61" s="3"/>
      <c r="S61" s="3"/>
      <c r="T61" s="3"/>
      <c r="Y61" s="34"/>
      <c r="Z61" s="34"/>
    </row>
    <row r="62" spans="17:26" ht="12.75">
      <c r="Q62" s="34"/>
      <c r="R62" s="3"/>
      <c r="S62" s="3"/>
      <c r="T62" s="3"/>
      <c r="Y62" s="35"/>
      <c r="Z62" s="35"/>
    </row>
    <row r="63" spans="17:26" ht="12.75">
      <c r="Q63" s="35"/>
      <c r="R63" s="3"/>
      <c r="S63" s="3"/>
      <c r="T63" s="3"/>
      <c r="Y63" s="35"/>
      <c r="Z63" s="35"/>
    </row>
    <row r="64" spans="17:26" ht="12.75">
      <c r="Q64" s="35"/>
      <c r="R64" s="3"/>
      <c r="S64" s="3"/>
      <c r="T64" s="3"/>
      <c r="Y64" s="3"/>
      <c r="Z64" s="3"/>
    </row>
    <row r="65" spans="17:26" ht="12.75">
      <c r="Q65" s="3"/>
      <c r="R65" s="3"/>
      <c r="S65" s="3"/>
      <c r="T65" s="3"/>
      <c r="Y65" s="3"/>
      <c r="Z65" s="3"/>
    </row>
    <row r="66" spans="17:26" ht="12.75">
      <c r="Q66" s="3"/>
      <c r="R66" s="3"/>
      <c r="S66" s="3"/>
      <c r="T66" s="3"/>
      <c r="Y66" s="3"/>
      <c r="Z66" s="3"/>
    </row>
    <row r="67" spans="18:26" ht="12.75">
      <c r="R67" s="3"/>
      <c r="S67" s="3"/>
      <c r="T67" s="3"/>
      <c r="Y67" s="3"/>
      <c r="Z67" s="3"/>
    </row>
    <row r="68" spans="18:26" ht="12.75">
      <c r="R68" s="3"/>
      <c r="S68" s="3"/>
      <c r="T68" s="3"/>
      <c r="Y68" s="3"/>
      <c r="Z68" s="3"/>
    </row>
    <row r="69" spans="18:20" ht="12.75">
      <c r="R69" s="3"/>
      <c r="S69" s="3"/>
      <c r="T69" s="3"/>
    </row>
  </sheetData>
  <mergeCells count="9">
    <mergeCell ref="C41:D41"/>
    <mergeCell ref="S41:V41"/>
    <mergeCell ref="C42:D42"/>
    <mergeCell ref="U42:V42"/>
    <mergeCell ref="S8:V8"/>
    <mergeCell ref="S9:V9"/>
    <mergeCell ref="C9:D9"/>
    <mergeCell ref="C10:D10"/>
    <mergeCell ref="U10:V10"/>
  </mergeCells>
  <conditionalFormatting sqref="AB48:AC48 I31:Q35 A31:A32 R31:T36 X36 X31:Z35 V31:W36 C36 U36 D31:H36 A46:B46 A39:A40">
    <cfRule type="cellIs" priority="1" dxfId="0" operator="equal" stopIfTrue="1">
      <formula>0</formula>
    </cfRule>
  </conditionalFormatting>
  <printOptions/>
  <pageMargins left="0.25" right="0.22" top="0.41" bottom="0.59" header="0.38" footer="0.36"/>
  <pageSetup horizontalDpi="600" verticalDpi="600" orientation="landscape" scale="55" r:id="rId2"/>
  <headerFooter alignWithMargins="0">
    <oddFooter>&amp;LCCI Supplementary Fiscal Q4/09 - May 20, 2009&amp;CPage 8</oddFooter>
  </headerFooter>
  <ignoredErrors>
    <ignoredError sqref="H15 J15:AA15" formulaRange="1"/>
  </ignoredErrors>
  <drawing r:id="rId1"/>
</worksheet>
</file>

<file path=xl/worksheets/sheet11.xml><?xml version="1.0" encoding="utf-8"?>
<worksheet xmlns="http://schemas.openxmlformats.org/spreadsheetml/2006/main" xmlns:r="http://schemas.openxmlformats.org/officeDocument/2006/relationships">
  <dimension ref="A5:AE57"/>
  <sheetViews>
    <sheetView zoomScale="75" zoomScaleNormal="75" workbookViewId="0" topLeftCell="A1">
      <pane ySplit="10" topLeftCell="BM11" activePane="bottomLeft" state="frozen"/>
      <selection pane="topLeft" activeCell="B36" sqref="B36:L37"/>
      <selection pane="bottomLeft" activeCell="B36" sqref="B36:L37"/>
    </sheetView>
  </sheetViews>
  <sheetFormatPr defaultColWidth="9.140625" defaultRowHeight="12.75"/>
  <cols>
    <col min="1" max="1" width="2.7109375" style="0" customWidth="1"/>
    <col min="2" max="2" width="38.140625" style="0" customWidth="1"/>
    <col min="3" max="3" width="12.28125" style="0" bestFit="1" customWidth="1"/>
    <col min="4" max="4" width="10.7109375" style="0" customWidth="1"/>
    <col min="5" max="5" width="1.57421875" style="3" customWidth="1"/>
    <col min="6" max="8" width="11.28125" style="3" customWidth="1"/>
    <col min="9" max="9" width="11.140625" style="0" customWidth="1"/>
    <col min="10" max="11" width="10.7109375" style="0" customWidth="1"/>
    <col min="12" max="12" width="11.7109375" style="0" customWidth="1"/>
    <col min="13" max="14" width="11.28125" style="0" customWidth="1"/>
    <col min="15" max="16" width="10.7109375" style="0" hidden="1" customWidth="1"/>
    <col min="17" max="17" width="0.13671875" style="0" hidden="1" customWidth="1"/>
    <col min="18" max="18" width="1.57421875" style="0" customWidth="1"/>
    <col min="19" max="19" width="11.57421875" style="0" customWidth="1"/>
    <col min="20" max="20" width="10.7109375" style="0" customWidth="1"/>
    <col min="21" max="21" width="11.7109375" style="0" customWidth="1"/>
    <col min="22" max="23" width="10.7109375" style="0" customWidth="1"/>
    <col min="24" max="24" width="10.7109375" style="0" hidden="1" customWidth="1"/>
    <col min="25" max="25" width="1.57421875" style="0" customWidth="1"/>
  </cols>
  <sheetData>
    <row r="1" ht="12.75"/>
    <row r="2" ht="12.75"/>
    <row r="3" ht="12.75"/>
    <row r="4" ht="12.75"/>
    <row r="5" spans="1:11" ht="12.75">
      <c r="A5" s="3"/>
      <c r="B5" s="3"/>
      <c r="C5" s="3"/>
      <c r="D5" s="3"/>
      <c r="I5" s="3"/>
      <c r="J5" s="3"/>
      <c r="K5" s="3"/>
    </row>
    <row r="6" spans="1:11" ht="18" customHeight="1">
      <c r="A6" s="146" t="s">
        <v>198</v>
      </c>
      <c r="B6" s="3"/>
      <c r="C6" s="3"/>
      <c r="D6" s="3"/>
      <c r="I6" s="3"/>
      <c r="J6" s="3"/>
      <c r="K6" s="3"/>
    </row>
    <row r="7" spans="1:11" ht="18" customHeight="1">
      <c r="A7" s="146" t="s">
        <v>74</v>
      </c>
      <c r="B7" s="3"/>
      <c r="C7" s="3"/>
      <c r="D7" s="3"/>
      <c r="I7" s="3"/>
      <c r="J7" s="3"/>
      <c r="K7" s="3"/>
    </row>
    <row r="8" spans="1:23" ht="9.75" customHeight="1">
      <c r="A8" s="2"/>
      <c r="B8" s="2"/>
      <c r="C8" s="2"/>
      <c r="D8" s="2"/>
      <c r="E8" s="2"/>
      <c r="F8" s="563"/>
      <c r="G8" s="2"/>
      <c r="H8" s="2"/>
      <c r="I8" s="3"/>
      <c r="J8" s="3"/>
      <c r="K8" s="3"/>
      <c r="V8" s="3"/>
      <c r="W8" s="3"/>
    </row>
    <row r="9" spans="1:24" ht="12.75">
      <c r="A9" s="6" t="s">
        <v>1</v>
      </c>
      <c r="B9" s="7"/>
      <c r="C9" s="611" t="s">
        <v>286</v>
      </c>
      <c r="D9" s="629"/>
      <c r="E9" s="15"/>
      <c r="F9" s="17"/>
      <c r="G9" s="18"/>
      <c r="H9" s="18"/>
      <c r="I9" s="19"/>
      <c r="J9" s="18"/>
      <c r="K9" s="18"/>
      <c r="L9" s="18"/>
      <c r="M9" s="18"/>
      <c r="N9" s="22"/>
      <c r="O9" s="19"/>
      <c r="P9" s="19"/>
      <c r="Q9" s="19"/>
      <c r="R9" s="15"/>
      <c r="S9" s="98"/>
      <c r="T9" s="17"/>
      <c r="U9" s="22"/>
      <c r="V9" s="98"/>
      <c r="W9" s="363"/>
      <c r="X9" s="363"/>
    </row>
    <row r="10" spans="1:31" ht="12.75">
      <c r="A10" s="6" t="s">
        <v>199</v>
      </c>
      <c r="B10" s="7"/>
      <c r="C10" s="644" t="s">
        <v>51</v>
      </c>
      <c r="D10" s="608"/>
      <c r="E10" s="16"/>
      <c r="F10" s="20" t="s">
        <v>166</v>
      </c>
      <c r="G10" s="21" t="s">
        <v>167</v>
      </c>
      <c r="H10" s="21" t="s">
        <v>168</v>
      </c>
      <c r="I10" s="14" t="s">
        <v>42</v>
      </c>
      <c r="J10" s="15" t="s">
        <v>43</v>
      </c>
      <c r="K10" s="15" t="s">
        <v>44</v>
      </c>
      <c r="L10" s="15" t="s">
        <v>45</v>
      </c>
      <c r="M10" s="15" t="s">
        <v>46</v>
      </c>
      <c r="N10" s="345" t="s">
        <v>47</v>
      </c>
      <c r="O10" s="319" t="s">
        <v>48</v>
      </c>
      <c r="P10" s="319" t="s">
        <v>49</v>
      </c>
      <c r="Q10" s="319" t="s">
        <v>50</v>
      </c>
      <c r="R10" s="16"/>
      <c r="S10" s="318" t="s">
        <v>55</v>
      </c>
      <c r="T10" s="318" t="s">
        <v>52</v>
      </c>
      <c r="U10" s="345" t="s">
        <v>53</v>
      </c>
      <c r="V10" s="23" t="s">
        <v>242</v>
      </c>
      <c r="W10" s="392" t="s">
        <v>243</v>
      </c>
      <c r="X10" s="392" t="s">
        <v>249</v>
      </c>
      <c r="Y10" s="3"/>
      <c r="Z10" s="3"/>
      <c r="AC10" s="3"/>
      <c r="AD10" s="3"/>
      <c r="AE10" s="3"/>
    </row>
    <row r="11" spans="1:29" ht="12.75" customHeight="1">
      <c r="A11" s="228" t="s">
        <v>200</v>
      </c>
      <c r="B11" s="344"/>
      <c r="C11" s="282"/>
      <c r="D11" s="250"/>
      <c r="E11" s="233"/>
      <c r="F11" s="249"/>
      <c r="G11" s="233"/>
      <c r="H11" s="233"/>
      <c r="I11" s="251"/>
      <c r="J11" s="281"/>
      <c r="K11" s="281"/>
      <c r="L11" s="281"/>
      <c r="M11" s="281"/>
      <c r="N11" s="280"/>
      <c r="O11" s="250"/>
      <c r="P11" s="250"/>
      <c r="Q11" s="250"/>
      <c r="R11" s="233"/>
      <c r="S11" s="280"/>
      <c r="T11" s="280"/>
      <c r="U11" s="280"/>
      <c r="V11" s="393"/>
      <c r="W11" s="393"/>
      <c r="X11" s="393"/>
      <c r="Y11" s="3"/>
      <c r="Z11" s="3"/>
      <c r="AC11" s="3"/>
    </row>
    <row r="12" spans="1:29" ht="12.75" customHeight="1">
      <c r="A12" s="228"/>
      <c r="B12" s="92" t="s">
        <v>201</v>
      </c>
      <c r="C12" s="37">
        <f>F12-J12</f>
        <v>265524</v>
      </c>
      <c r="D12" s="29">
        <f>C12/J12</f>
        <v>0.609490667945984</v>
      </c>
      <c r="E12" s="320"/>
      <c r="F12" s="323">
        <v>701173</v>
      </c>
      <c r="G12" s="320">
        <v>684463</v>
      </c>
      <c r="H12" s="320">
        <v>521322</v>
      </c>
      <c r="I12" s="324">
        <v>555017</v>
      </c>
      <c r="J12" s="320">
        <v>435649</v>
      </c>
      <c r="K12" s="320">
        <v>421783</v>
      </c>
      <c r="L12" s="320">
        <v>379680</v>
      </c>
      <c r="M12" s="320">
        <v>329584</v>
      </c>
      <c r="N12" s="287">
        <v>506640</v>
      </c>
      <c r="O12" s="324">
        <v>371525</v>
      </c>
      <c r="P12" s="324">
        <v>315883</v>
      </c>
      <c r="Q12" s="324">
        <v>376986</v>
      </c>
      <c r="R12" s="320"/>
      <c r="S12" s="287">
        <f>F12</f>
        <v>701173</v>
      </c>
      <c r="T12" s="287">
        <v>435649</v>
      </c>
      <c r="U12" s="287">
        <v>506640</v>
      </c>
      <c r="V12" s="263">
        <v>370507</v>
      </c>
      <c r="W12" s="263">
        <v>349700</v>
      </c>
      <c r="X12" s="263">
        <v>91966</v>
      </c>
      <c r="Y12" s="3"/>
      <c r="Z12" s="3"/>
      <c r="AC12" s="3"/>
    </row>
    <row r="13" spans="1:29" ht="12.75" customHeight="1">
      <c r="A13" s="228"/>
      <c r="B13" s="92" t="s">
        <v>202</v>
      </c>
      <c r="C13" s="37">
        <f aca="true" t="shared" si="0" ref="C13:C22">F13-J13</f>
        <v>40895</v>
      </c>
      <c r="D13" s="29">
        <f aca="true" t="shared" si="1" ref="D13:D22">C13/J13</f>
        <v>0.44069787490840123</v>
      </c>
      <c r="E13" s="320"/>
      <c r="F13" s="323">
        <v>133691</v>
      </c>
      <c r="G13" s="320">
        <v>72938</v>
      </c>
      <c r="H13" s="320">
        <v>56055</v>
      </c>
      <c r="I13" s="324">
        <v>117013</v>
      </c>
      <c r="J13" s="320">
        <v>92796</v>
      </c>
      <c r="K13" s="320">
        <v>164388</v>
      </c>
      <c r="L13" s="320">
        <v>227368</v>
      </c>
      <c r="M13" s="320">
        <v>225734</v>
      </c>
      <c r="N13" s="287">
        <v>348764</v>
      </c>
      <c r="O13" s="324">
        <v>146030</v>
      </c>
      <c r="P13" s="324">
        <v>119809</v>
      </c>
      <c r="Q13" s="324">
        <v>194061</v>
      </c>
      <c r="R13" s="320"/>
      <c r="S13" s="287">
        <f aca="true" t="shared" si="2" ref="S13:S21">F13</f>
        <v>133691</v>
      </c>
      <c r="T13" s="287">
        <v>92796</v>
      </c>
      <c r="U13" s="287">
        <v>348764</v>
      </c>
      <c r="V13" s="263">
        <v>203020</v>
      </c>
      <c r="W13" s="263">
        <v>160348</v>
      </c>
      <c r="X13" s="263">
        <v>376447</v>
      </c>
      <c r="Y13" s="3"/>
      <c r="Z13" s="3"/>
      <c r="AC13" s="3"/>
    </row>
    <row r="14" spans="1:29" ht="12.75" customHeight="1">
      <c r="A14" s="228"/>
      <c r="B14" s="92" t="s">
        <v>203</v>
      </c>
      <c r="C14" s="37">
        <f t="shared" si="0"/>
        <v>-361756</v>
      </c>
      <c r="D14" s="29">
        <f t="shared" si="1"/>
        <v>-0.25423548949095415</v>
      </c>
      <c r="E14" s="320"/>
      <c r="F14" s="323">
        <v>1061161</v>
      </c>
      <c r="G14" s="320">
        <v>806402</v>
      </c>
      <c r="H14" s="320">
        <v>1227426</v>
      </c>
      <c r="I14" s="324">
        <v>1525096</v>
      </c>
      <c r="J14" s="320">
        <v>1422917</v>
      </c>
      <c r="K14" s="320">
        <v>1260869</v>
      </c>
      <c r="L14" s="320">
        <v>1829712</v>
      </c>
      <c r="M14" s="320">
        <v>2052737</v>
      </c>
      <c r="N14" s="287">
        <v>1672035</v>
      </c>
      <c r="O14" s="324">
        <v>1204371</v>
      </c>
      <c r="P14" s="324">
        <v>1163218</v>
      </c>
      <c r="Q14" s="324">
        <v>1154454</v>
      </c>
      <c r="R14" s="320"/>
      <c r="S14" s="287">
        <f t="shared" si="2"/>
        <v>1061161</v>
      </c>
      <c r="T14" s="287">
        <v>1422917</v>
      </c>
      <c r="U14" s="287">
        <v>1672035</v>
      </c>
      <c r="V14" s="263">
        <v>1539998</v>
      </c>
      <c r="W14" s="263">
        <v>1068757</v>
      </c>
      <c r="X14" s="263">
        <v>998815</v>
      </c>
      <c r="Y14" s="3"/>
      <c r="Z14" s="3"/>
      <c r="AC14" s="3"/>
    </row>
    <row r="15" spans="1:29" ht="12.75" customHeight="1">
      <c r="A15" s="228"/>
      <c r="B15" s="92" t="s">
        <v>204</v>
      </c>
      <c r="C15" s="37">
        <f t="shared" si="0"/>
        <v>12688</v>
      </c>
      <c r="D15" s="29">
        <f t="shared" si="1"/>
        <v>1.1448163854552016</v>
      </c>
      <c r="E15" s="320"/>
      <c r="F15" s="323">
        <v>23771</v>
      </c>
      <c r="G15" s="320">
        <v>29887</v>
      </c>
      <c r="H15" s="320">
        <v>19772</v>
      </c>
      <c r="I15" s="324">
        <v>19440</v>
      </c>
      <c r="J15" s="320">
        <v>11083</v>
      </c>
      <c r="K15" s="320">
        <v>2758</v>
      </c>
      <c r="L15" s="320">
        <v>661</v>
      </c>
      <c r="M15" s="32">
        <v>0</v>
      </c>
      <c r="N15" s="356">
        <v>0</v>
      </c>
      <c r="O15" s="28">
        <v>0</v>
      </c>
      <c r="P15" s="28">
        <v>0</v>
      </c>
      <c r="Q15" s="28">
        <v>0</v>
      </c>
      <c r="R15" s="320"/>
      <c r="S15" s="287">
        <f t="shared" si="2"/>
        <v>23771</v>
      </c>
      <c r="T15" s="287">
        <v>11083</v>
      </c>
      <c r="U15" s="28">
        <v>0</v>
      </c>
      <c r="V15" s="263">
        <v>0</v>
      </c>
      <c r="W15" s="263">
        <v>0</v>
      </c>
      <c r="X15" s="263">
        <v>0</v>
      </c>
      <c r="Y15" s="3"/>
      <c r="Z15" s="3"/>
      <c r="AC15" s="3"/>
    </row>
    <row r="16" spans="1:29" ht="12.75" customHeight="1">
      <c r="A16" s="228"/>
      <c r="B16" s="92" t="s">
        <v>205</v>
      </c>
      <c r="C16" s="37">
        <f t="shared" si="0"/>
        <v>-12527</v>
      </c>
      <c r="D16" s="29">
        <f t="shared" si="1"/>
        <v>-0.4441096181798844</v>
      </c>
      <c r="E16" s="320"/>
      <c r="F16" s="323">
        <v>15680</v>
      </c>
      <c r="G16" s="320">
        <v>13657</v>
      </c>
      <c r="H16" s="320">
        <v>11566</v>
      </c>
      <c r="I16" s="324">
        <v>10725</v>
      </c>
      <c r="J16" s="320">
        <v>28207</v>
      </c>
      <c r="K16" s="320">
        <v>10630</v>
      </c>
      <c r="L16" s="320">
        <v>9940</v>
      </c>
      <c r="M16" s="320">
        <v>7761</v>
      </c>
      <c r="N16" s="287">
        <v>11021</v>
      </c>
      <c r="O16" s="324">
        <v>11782</v>
      </c>
      <c r="P16" s="324">
        <v>12754</v>
      </c>
      <c r="Q16" s="324">
        <v>11872</v>
      </c>
      <c r="R16" s="320"/>
      <c r="S16" s="287">
        <f t="shared" si="2"/>
        <v>15680</v>
      </c>
      <c r="T16" s="287">
        <v>28207</v>
      </c>
      <c r="U16" s="287">
        <v>11021</v>
      </c>
      <c r="V16" s="253">
        <v>10769</v>
      </c>
      <c r="W16" s="253">
        <v>3992</v>
      </c>
      <c r="X16" s="253">
        <v>0</v>
      </c>
      <c r="Y16" s="3"/>
      <c r="Z16" s="3"/>
      <c r="AC16" s="3"/>
    </row>
    <row r="17" spans="1:29" ht="12.75" customHeight="1">
      <c r="A17" s="228"/>
      <c r="B17" s="92" t="s">
        <v>206</v>
      </c>
      <c r="C17" s="37">
        <f t="shared" si="0"/>
        <v>0</v>
      </c>
      <c r="D17" s="29">
        <f t="shared" si="1"/>
        <v>0</v>
      </c>
      <c r="E17" s="320"/>
      <c r="F17" s="323">
        <v>5000</v>
      </c>
      <c r="G17" s="320">
        <v>5000</v>
      </c>
      <c r="H17" s="320">
        <v>5000</v>
      </c>
      <c r="I17" s="324">
        <v>5000</v>
      </c>
      <c r="J17" s="320">
        <v>5000</v>
      </c>
      <c r="K17" s="320">
        <v>5000</v>
      </c>
      <c r="L17" s="320">
        <v>5000</v>
      </c>
      <c r="M17" s="320">
        <v>5000</v>
      </c>
      <c r="N17" s="356">
        <v>0</v>
      </c>
      <c r="O17" s="28">
        <v>0</v>
      </c>
      <c r="P17" s="28">
        <v>0</v>
      </c>
      <c r="Q17" s="28">
        <v>0</v>
      </c>
      <c r="R17" s="320"/>
      <c r="S17" s="287">
        <f t="shared" si="2"/>
        <v>5000</v>
      </c>
      <c r="T17" s="287">
        <v>5000</v>
      </c>
      <c r="U17" s="28">
        <v>0</v>
      </c>
      <c r="V17" s="394">
        <v>0</v>
      </c>
      <c r="W17" s="394">
        <v>0</v>
      </c>
      <c r="X17" s="394">
        <v>0</v>
      </c>
      <c r="Y17" s="3"/>
      <c r="Z17" s="3"/>
      <c r="AC17" s="3"/>
    </row>
    <row r="18" spans="1:29" ht="12.75" customHeight="1">
      <c r="A18" s="228"/>
      <c r="B18" s="92" t="s">
        <v>207</v>
      </c>
      <c r="C18" s="37">
        <f t="shared" si="0"/>
        <v>5452</v>
      </c>
      <c r="D18" s="29">
        <f t="shared" si="1"/>
        <v>0.1825853985264568</v>
      </c>
      <c r="E18" s="320"/>
      <c r="F18" s="323">
        <v>35312</v>
      </c>
      <c r="G18" s="320">
        <v>23160</v>
      </c>
      <c r="H18" s="320">
        <v>29860</v>
      </c>
      <c r="I18" s="324">
        <v>29860</v>
      </c>
      <c r="J18" s="320">
        <v>29860</v>
      </c>
      <c r="K18" s="320">
        <v>34501</v>
      </c>
      <c r="L18" s="32">
        <v>0</v>
      </c>
      <c r="M18" s="32">
        <v>0</v>
      </c>
      <c r="N18" s="356">
        <v>0</v>
      </c>
      <c r="O18" s="28">
        <v>0</v>
      </c>
      <c r="P18" s="28">
        <v>0</v>
      </c>
      <c r="Q18" s="28">
        <v>0</v>
      </c>
      <c r="R18" s="320"/>
      <c r="S18" s="287">
        <f t="shared" si="2"/>
        <v>35312</v>
      </c>
      <c r="T18" s="287">
        <v>29860</v>
      </c>
      <c r="U18" s="28">
        <v>0</v>
      </c>
      <c r="V18" s="394">
        <v>0</v>
      </c>
      <c r="W18" s="394">
        <v>0</v>
      </c>
      <c r="X18" s="394">
        <v>0</v>
      </c>
      <c r="Y18" s="3"/>
      <c r="Z18" s="3"/>
      <c r="AC18" s="3"/>
    </row>
    <row r="19" spans="1:29" ht="12.75" customHeight="1">
      <c r="A19" s="228"/>
      <c r="B19" s="92" t="s">
        <v>208</v>
      </c>
      <c r="C19" s="37">
        <f t="shared" si="0"/>
        <v>5625</v>
      </c>
      <c r="D19" s="29">
        <f t="shared" si="1"/>
        <v>0.13825394484589293</v>
      </c>
      <c r="E19" s="320"/>
      <c r="F19" s="323">
        <v>46311</v>
      </c>
      <c r="G19" s="320">
        <v>44178</v>
      </c>
      <c r="H19" s="320">
        <v>39254</v>
      </c>
      <c r="I19" s="324">
        <v>39575</v>
      </c>
      <c r="J19" s="320">
        <v>40686</v>
      </c>
      <c r="K19" s="320">
        <v>39939</v>
      </c>
      <c r="L19" s="320">
        <v>40137</v>
      </c>
      <c r="M19" s="320">
        <v>39231</v>
      </c>
      <c r="N19" s="287">
        <v>37549</v>
      </c>
      <c r="O19" s="324">
        <v>33566</v>
      </c>
      <c r="P19" s="324">
        <v>26527</v>
      </c>
      <c r="Q19" s="324">
        <v>24449</v>
      </c>
      <c r="R19" s="320"/>
      <c r="S19" s="287">
        <f t="shared" si="2"/>
        <v>46311</v>
      </c>
      <c r="T19" s="287">
        <v>40686</v>
      </c>
      <c r="U19" s="287">
        <v>37549</v>
      </c>
      <c r="V19" s="263">
        <v>25750</v>
      </c>
      <c r="W19" s="263">
        <v>13750</v>
      </c>
      <c r="X19" s="263">
        <v>12373</v>
      </c>
      <c r="Y19" s="3"/>
      <c r="Z19" s="3"/>
      <c r="AC19" s="3"/>
    </row>
    <row r="20" spans="1:29" ht="12.75" customHeight="1">
      <c r="A20" s="228"/>
      <c r="B20" s="92" t="s">
        <v>209</v>
      </c>
      <c r="C20" s="37">
        <f t="shared" si="0"/>
        <v>0</v>
      </c>
      <c r="D20" s="29">
        <v>0</v>
      </c>
      <c r="E20" s="320"/>
      <c r="F20" s="38">
        <v>0</v>
      </c>
      <c r="G20" s="32">
        <v>0</v>
      </c>
      <c r="H20" s="32">
        <v>0</v>
      </c>
      <c r="I20" s="28">
        <v>0</v>
      </c>
      <c r="J20" s="32">
        <v>0</v>
      </c>
      <c r="K20" s="32">
        <v>0</v>
      </c>
      <c r="L20" s="32">
        <v>0</v>
      </c>
      <c r="M20" s="28">
        <v>0</v>
      </c>
      <c r="N20" s="356">
        <v>0</v>
      </c>
      <c r="O20" s="28">
        <v>0</v>
      </c>
      <c r="P20" s="28">
        <v>0</v>
      </c>
      <c r="Q20" s="28">
        <v>0</v>
      </c>
      <c r="R20" s="320"/>
      <c r="S20" s="356">
        <f t="shared" si="2"/>
        <v>0</v>
      </c>
      <c r="T20" s="356">
        <v>0</v>
      </c>
      <c r="U20" s="28">
        <v>0</v>
      </c>
      <c r="V20" s="263">
        <v>0</v>
      </c>
      <c r="W20" s="263">
        <v>41618</v>
      </c>
      <c r="X20" s="263">
        <v>28765</v>
      </c>
      <c r="Y20" s="3"/>
      <c r="Z20" s="3"/>
      <c r="AC20" s="3"/>
    </row>
    <row r="21" spans="1:29" ht="12.75" customHeight="1">
      <c r="A21" s="228"/>
      <c r="B21" s="92" t="s">
        <v>210</v>
      </c>
      <c r="C21" s="37">
        <f t="shared" si="0"/>
        <v>-32520</v>
      </c>
      <c r="D21" s="29">
        <f t="shared" si="1"/>
        <v>-1</v>
      </c>
      <c r="E21" s="320"/>
      <c r="F21" s="38">
        <v>0</v>
      </c>
      <c r="G21" s="593">
        <v>0</v>
      </c>
      <c r="H21" s="320">
        <v>31815</v>
      </c>
      <c r="I21" s="324">
        <v>32167</v>
      </c>
      <c r="J21" s="320">
        <v>32520</v>
      </c>
      <c r="K21" s="320">
        <v>32873</v>
      </c>
      <c r="L21" s="320">
        <v>33227</v>
      </c>
      <c r="M21" s="320">
        <v>33580</v>
      </c>
      <c r="N21" s="287">
        <v>33933</v>
      </c>
      <c r="O21" s="324">
        <v>26869</v>
      </c>
      <c r="P21" s="324">
        <v>27222</v>
      </c>
      <c r="Q21" s="324">
        <v>27575</v>
      </c>
      <c r="R21" s="320"/>
      <c r="S21" s="356">
        <f t="shared" si="2"/>
        <v>0</v>
      </c>
      <c r="T21" s="287">
        <v>32520</v>
      </c>
      <c r="U21" s="287">
        <v>33933</v>
      </c>
      <c r="V21" s="263">
        <v>27929</v>
      </c>
      <c r="W21" s="263">
        <v>0</v>
      </c>
      <c r="X21" s="263"/>
      <c r="Y21" s="3"/>
      <c r="Z21" s="3"/>
      <c r="AC21" s="3"/>
    </row>
    <row r="22" spans="1:29" s="106" customFormat="1" ht="12.75" customHeight="1" thickBot="1">
      <c r="A22" s="228" t="s">
        <v>9</v>
      </c>
      <c r="B22" s="228"/>
      <c r="C22" s="347">
        <f t="shared" si="0"/>
        <v>-76619</v>
      </c>
      <c r="D22" s="268">
        <f t="shared" si="1"/>
        <v>-0.036507525070066583</v>
      </c>
      <c r="E22" s="346"/>
      <c r="F22" s="347">
        <f>F12+F13+F14+F15+F16+F17+F18+F19+F20+F21</f>
        <v>2022099</v>
      </c>
      <c r="G22" s="592">
        <v>1679685</v>
      </c>
      <c r="H22" s="348">
        <v>1942070</v>
      </c>
      <c r="I22" s="349">
        <f>SUM(I12:I21)</f>
        <v>2333893</v>
      </c>
      <c r="J22" s="348">
        <v>2098718</v>
      </c>
      <c r="K22" s="348">
        <v>1972741</v>
      </c>
      <c r="L22" s="348">
        <v>2525725</v>
      </c>
      <c r="M22" s="348">
        <v>2693627</v>
      </c>
      <c r="N22" s="350">
        <v>2609942</v>
      </c>
      <c r="O22" s="349">
        <v>1794143</v>
      </c>
      <c r="P22" s="349">
        <v>1665413</v>
      </c>
      <c r="Q22" s="349">
        <v>1789397</v>
      </c>
      <c r="R22" s="346"/>
      <c r="S22" s="350">
        <f>SUM(S12:S21)</f>
        <v>2022099</v>
      </c>
      <c r="T22" s="350">
        <v>2098718</v>
      </c>
      <c r="U22" s="350">
        <v>2609942</v>
      </c>
      <c r="V22" s="395">
        <v>2177973</v>
      </c>
      <c r="W22" s="395">
        <v>1638165</v>
      </c>
      <c r="X22" s="395">
        <v>1508366</v>
      </c>
      <c r="Y22" s="296"/>
      <c r="Z22" s="296"/>
      <c r="AC22" s="296"/>
    </row>
    <row r="23" spans="1:29" ht="12.75" customHeight="1" thickTop="1">
      <c r="A23" s="92"/>
      <c r="B23" s="92"/>
      <c r="C23" s="323"/>
      <c r="D23" s="29"/>
      <c r="E23" s="320"/>
      <c r="F23" s="323"/>
      <c r="G23" s="320"/>
      <c r="H23" s="320"/>
      <c r="I23" s="324"/>
      <c r="J23" s="320"/>
      <c r="K23" s="320"/>
      <c r="L23" s="320"/>
      <c r="M23" s="320"/>
      <c r="N23" s="287"/>
      <c r="O23" s="324"/>
      <c r="P23" s="324"/>
      <c r="Q23" s="324"/>
      <c r="R23" s="320"/>
      <c r="S23" s="287"/>
      <c r="T23" s="287"/>
      <c r="U23" s="287"/>
      <c r="V23" s="263"/>
      <c r="W23" s="263"/>
      <c r="X23" s="263"/>
      <c r="Y23" s="3"/>
      <c r="Z23" s="3"/>
      <c r="AC23" s="3"/>
    </row>
    <row r="24" spans="1:29" ht="12.75" customHeight="1">
      <c r="A24" s="228" t="s">
        <v>211</v>
      </c>
      <c r="B24" s="92"/>
      <c r="C24" s="323"/>
      <c r="D24" s="29"/>
      <c r="E24" s="320"/>
      <c r="F24" s="323"/>
      <c r="G24" s="320"/>
      <c r="H24" s="320"/>
      <c r="I24" s="324"/>
      <c r="J24" s="320"/>
      <c r="K24" s="320"/>
      <c r="L24" s="320"/>
      <c r="M24" s="320"/>
      <c r="N24" s="287"/>
      <c r="O24" s="324"/>
      <c r="P24" s="324"/>
      <c r="Q24" s="324"/>
      <c r="R24" s="320"/>
      <c r="S24" s="287"/>
      <c r="T24" s="287"/>
      <c r="U24" s="287"/>
      <c r="V24" s="263"/>
      <c r="W24" s="263"/>
      <c r="X24" s="263"/>
      <c r="Y24" s="3"/>
      <c r="Z24" s="3"/>
      <c r="AC24" s="3"/>
    </row>
    <row r="25" spans="1:29" ht="12.75" customHeight="1">
      <c r="A25" s="92"/>
      <c r="B25" s="92" t="s">
        <v>212</v>
      </c>
      <c r="C25" s="323">
        <f aca="true" t="shared" si="3" ref="C25:C34">F25-J25</f>
        <v>60562</v>
      </c>
      <c r="D25" s="29">
        <f aca="true" t="shared" si="4" ref="D25:D34">C25/J25</f>
        <v>4.0272642638648755</v>
      </c>
      <c r="E25" s="320"/>
      <c r="F25" s="323">
        <v>75600</v>
      </c>
      <c r="G25" s="320">
        <v>39040</v>
      </c>
      <c r="H25" s="560">
        <v>6854</v>
      </c>
      <c r="I25" s="28">
        <v>0</v>
      </c>
      <c r="J25" s="323">
        <v>15038</v>
      </c>
      <c r="K25" s="32">
        <v>0</v>
      </c>
      <c r="L25" s="320">
        <v>48130</v>
      </c>
      <c r="M25" s="320">
        <v>2265</v>
      </c>
      <c r="N25" s="356">
        <v>0</v>
      </c>
      <c r="O25" s="28">
        <v>0</v>
      </c>
      <c r="P25" s="28">
        <v>0</v>
      </c>
      <c r="Q25" s="324">
        <v>556</v>
      </c>
      <c r="R25" s="320"/>
      <c r="S25" s="287">
        <f>F25</f>
        <v>75600</v>
      </c>
      <c r="T25" s="287">
        <v>15038</v>
      </c>
      <c r="U25" s="28">
        <v>0</v>
      </c>
      <c r="V25" s="263">
        <v>4684</v>
      </c>
      <c r="W25" s="263">
        <v>0</v>
      </c>
      <c r="X25" s="263">
        <v>2541</v>
      </c>
      <c r="Y25" s="3"/>
      <c r="Z25" s="3"/>
      <c r="AC25" s="3"/>
    </row>
    <row r="26" spans="1:29" ht="12.75" customHeight="1">
      <c r="A26" s="92"/>
      <c r="B26" s="92" t="s">
        <v>213</v>
      </c>
      <c r="C26" s="323">
        <f t="shared" si="3"/>
        <v>65669</v>
      </c>
      <c r="D26" s="29">
        <f t="shared" si="4"/>
        <v>4.773497128734462</v>
      </c>
      <c r="E26" s="320"/>
      <c r="F26" s="323">
        <v>79426</v>
      </c>
      <c r="G26" s="320">
        <v>62151</v>
      </c>
      <c r="H26" s="320">
        <v>15194</v>
      </c>
      <c r="I26" s="324">
        <v>32227</v>
      </c>
      <c r="J26" s="320">
        <v>13757</v>
      </c>
      <c r="K26" s="320">
        <v>96383</v>
      </c>
      <c r="L26" s="320">
        <v>48784</v>
      </c>
      <c r="M26" s="320">
        <v>85222</v>
      </c>
      <c r="N26" s="287">
        <v>41176</v>
      </c>
      <c r="O26" s="324">
        <v>54467</v>
      </c>
      <c r="P26" s="324">
        <v>25926</v>
      </c>
      <c r="Q26" s="324">
        <v>109923</v>
      </c>
      <c r="R26" s="320"/>
      <c r="S26" s="287">
        <f aca="true" t="shared" si="5" ref="S26:S33">F26</f>
        <v>79426</v>
      </c>
      <c r="T26" s="287">
        <v>13757</v>
      </c>
      <c r="U26" s="287">
        <v>41176</v>
      </c>
      <c r="V26" s="263">
        <v>37169</v>
      </c>
      <c r="W26" s="263">
        <v>105527</v>
      </c>
      <c r="X26" s="263">
        <v>281723</v>
      </c>
      <c r="Y26" s="3"/>
      <c r="Z26" s="3"/>
      <c r="AC26" s="3"/>
    </row>
    <row r="27" spans="1:29" s="106" customFormat="1" ht="12.75" customHeight="1">
      <c r="A27" s="92"/>
      <c r="B27" s="92" t="s">
        <v>214</v>
      </c>
      <c r="C27" s="323">
        <f t="shared" si="3"/>
        <v>-218110</v>
      </c>
      <c r="D27" s="29">
        <f t="shared" si="4"/>
        <v>-0.12925197883944037</v>
      </c>
      <c r="E27" s="320"/>
      <c r="F27" s="323">
        <v>1469369</v>
      </c>
      <c r="G27" s="320">
        <v>1195533</v>
      </c>
      <c r="H27" s="320">
        <v>1480714</v>
      </c>
      <c r="I27" s="324">
        <v>1836764</v>
      </c>
      <c r="J27" s="320">
        <v>1687479</v>
      </c>
      <c r="K27" s="320">
        <v>1461130</v>
      </c>
      <c r="L27" s="320">
        <v>2021498</v>
      </c>
      <c r="M27" s="320">
        <v>2189371</v>
      </c>
      <c r="N27" s="287">
        <v>2156540</v>
      </c>
      <c r="O27" s="324">
        <v>1380767</v>
      </c>
      <c r="P27" s="324">
        <v>1311248</v>
      </c>
      <c r="Q27" s="324">
        <v>1359198</v>
      </c>
      <c r="R27" s="320"/>
      <c r="S27" s="287">
        <f t="shared" si="5"/>
        <v>1469369</v>
      </c>
      <c r="T27" s="287">
        <v>1687479</v>
      </c>
      <c r="U27" s="287">
        <v>2156540</v>
      </c>
      <c r="V27" s="263">
        <v>1832956</v>
      </c>
      <c r="W27" s="263">
        <v>1262072</v>
      </c>
      <c r="X27" s="263">
        <v>1048395</v>
      </c>
      <c r="Y27" s="296"/>
      <c r="Z27" s="296"/>
      <c r="AC27" s="296"/>
    </row>
    <row r="28" spans="1:29" s="106" customFormat="1" ht="12.75" customHeight="1">
      <c r="A28" s="92"/>
      <c r="B28" s="92" t="s">
        <v>215</v>
      </c>
      <c r="C28" s="38">
        <f t="shared" si="3"/>
        <v>0</v>
      </c>
      <c r="D28" s="28">
        <v>0</v>
      </c>
      <c r="E28" s="320"/>
      <c r="F28" s="38">
        <v>0</v>
      </c>
      <c r="G28" s="32">
        <v>0</v>
      </c>
      <c r="H28" s="32">
        <v>0</v>
      </c>
      <c r="I28" s="28">
        <v>0</v>
      </c>
      <c r="J28" s="38">
        <v>0</v>
      </c>
      <c r="K28" s="32">
        <v>0</v>
      </c>
      <c r="L28" s="32">
        <v>0</v>
      </c>
      <c r="M28" s="320">
        <v>2528</v>
      </c>
      <c r="N28" s="287">
        <v>15035</v>
      </c>
      <c r="O28" s="324">
        <v>3681</v>
      </c>
      <c r="P28" s="324">
        <v>1150</v>
      </c>
      <c r="Q28" s="324">
        <v>8522</v>
      </c>
      <c r="R28" s="320"/>
      <c r="S28" s="356">
        <f t="shared" si="5"/>
        <v>0</v>
      </c>
      <c r="T28" s="356">
        <v>0</v>
      </c>
      <c r="U28" s="287">
        <v>15035</v>
      </c>
      <c r="V28" s="263">
        <v>15334</v>
      </c>
      <c r="W28" s="263">
        <v>6737</v>
      </c>
      <c r="X28" s="263">
        <v>16905</v>
      </c>
      <c r="Y28" s="296"/>
      <c r="Z28" s="296"/>
      <c r="AC28" s="296"/>
    </row>
    <row r="29" spans="1:29" s="106" customFormat="1" ht="12.75" customHeight="1" hidden="1">
      <c r="A29" s="92"/>
      <c r="B29" s="92" t="s">
        <v>205</v>
      </c>
      <c r="C29" s="38">
        <f t="shared" si="3"/>
        <v>0</v>
      </c>
      <c r="D29" s="28">
        <v>0</v>
      </c>
      <c r="E29" s="320"/>
      <c r="F29" s="38">
        <v>0</v>
      </c>
      <c r="G29" s="32">
        <v>0</v>
      </c>
      <c r="H29" s="32">
        <v>0</v>
      </c>
      <c r="I29" s="28">
        <v>0</v>
      </c>
      <c r="J29" s="38">
        <v>0</v>
      </c>
      <c r="K29" s="32">
        <v>0</v>
      </c>
      <c r="L29" s="32">
        <v>0</v>
      </c>
      <c r="M29" s="32">
        <v>0</v>
      </c>
      <c r="N29" s="356">
        <v>0</v>
      </c>
      <c r="O29" s="28">
        <v>0</v>
      </c>
      <c r="P29" s="28">
        <v>0</v>
      </c>
      <c r="Q29" s="28">
        <v>0</v>
      </c>
      <c r="R29" s="320"/>
      <c r="S29" s="356">
        <f t="shared" si="5"/>
        <v>0</v>
      </c>
      <c r="T29" s="356">
        <v>0</v>
      </c>
      <c r="U29" s="28">
        <v>0</v>
      </c>
      <c r="V29" s="263">
        <v>0</v>
      </c>
      <c r="W29" s="263">
        <v>0</v>
      </c>
      <c r="X29" s="263">
        <v>973</v>
      </c>
      <c r="Y29" s="296"/>
      <c r="Z29" s="296"/>
      <c r="AC29" s="296"/>
    </row>
    <row r="30" spans="1:29" s="106" customFormat="1" ht="12.75" customHeight="1">
      <c r="A30" s="92"/>
      <c r="B30" s="92" t="s">
        <v>216</v>
      </c>
      <c r="C30" s="38">
        <f t="shared" si="3"/>
        <v>0</v>
      </c>
      <c r="D30" s="28">
        <v>0</v>
      </c>
      <c r="E30" s="320"/>
      <c r="F30" s="38">
        <v>0</v>
      </c>
      <c r="G30" s="32">
        <v>0</v>
      </c>
      <c r="H30" s="32">
        <v>0</v>
      </c>
      <c r="I30" s="28">
        <v>0</v>
      </c>
      <c r="J30" s="38">
        <v>0</v>
      </c>
      <c r="K30" s="32">
        <v>0</v>
      </c>
      <c r="L30" s="32">
        <v>0</v>
      </c>
      <c r="M30" s="32">
        <v>0</v>
      </c>
      <c r="N30" s="356">
        <v>0</v>
      </c>
      <c r="O30" s="28">
        <v>0</v>
      </c>
      <c r="P30" s="28">
        <v>0</v>
      </c>
      <c r="Q30" s="28">
        <v>0</v>
      </c>
      <c r="R30" s="320"/>
      <c r="S30" s="356">
        <f t="shared" si="5"/>
        <v>0</v>
      </c>
      <c r="T30" s="356">
        <v>0</v>
      </c>
      <c r="U30" s="28">
        <v>0</v>
      </c>
      <c r="V30" s="263">
        <v>0</v>
      </c>
      <c r="W30" s="263">
        <v>41618</v>
      </c>
      <c r="X30" s="263">
        <v>28765</v>
      </c>
      <c r="Y30" s="296"/>
      <c r="Z30" s="296"/>
      <c r="AC30" s="296"/>
    </row>
    <row r="31" spans="1:29" s="106" customFormat="1" ht="12.75" customHeight="1" hidden="1">
      <c r="A31" s="92"/>
      <c r="B31" s="92" t="s">
        <v>217</v>
      </c>
      <c r="C31" s="38">
        <f t="shared" si="3"/>
        <v>0</v>
      </c>
      <c r="D31" s="28">
        <v>0</v>
      </c>
      <c r="E31" s="320"/>
      <c r="F31" s="38">
        <v>0</v>
      </c>
      <c r="G31" s="32">
        <v>0</v>
      </c>
      <c r="H31" s="32">
        <v>0</v>
      </c>
      <c r="I31" s="28">
        <v>0</v>
      </c>
      <c r="J31" s="38">
        <v>0</v>
      </c>
      <c r="K31" s="32">
        <v>0</v>
      </c>
      <c r="L31" s="32">
        <v>0</v>
      </c>
      <c r="M31" s="32">
        <v>0</v>
      </c>
      <c r="N31" s="356">
        <v>0</v>
      </c>
      <c r="O31" s="28">
        <v>0</v>
      </c>
      <c r="P31" s="28">
        <v>0</v>
      </c>
      <c r="Q31" s="28">
        <v>0</v>
      </c>
      <c r="R31" s="320"/>
      <c r="S31" s="356">
        <f t="shared" si="5"/>
        <v>0</v>
      </c>
      <c r="T31" s="356">
        <v>0</v>
      </c>
      <c r="U31" s="28">
        <v>0</v>
      </c>
      <c r="V31" s="263">
        <v>0</v>
      </c>
      <c r="W31" s="263">
        <v>0</v>
      </c>
      <c r="X31" s="263">
        <v>20377</v>
      </c>
      <c r="Y31" s="296"/>
      <c r="Z31" s="296"/>
      <c r="AC31" s="296"/>
    </row>
    <row r="32" spans="1:29" s="106" customFormat="1" ht="12.75" customHeight="1">
      <c r="A32" s="92"/>
      <c r="B32" s="92" t="s">
        <v>218</v>
      </c>
      <c r="C32" s="38">
        <f t="shared" si="3"/>
        <v>0</v>
      </c>
      <c r="D32" s="28">
        <f t="shared" si="4"/>
        <v>0</v>
      </c>
      <c r="E32" s="320"/>
      <c r="F32" s="323">
        <v>25000</v>
      </c>
      <c r="G32" s="320">
        <v>25000</v>
      </c>
      <c r="H32" s="320">
        <v>25000</v>
      </c>
      <c r="I32" s="324">
        <v>25000</v>
      </c>
      <c r="J32" s="320">
        <v>25000</v>
      </c>
      <c r="K32" s="320">
        <v>25000</v>
      </c>
      <c r="L32" s="320">
        <v>25000</v>
      </c>
      <c r="M32" s="320">
        <v>25000</v>
      </c>
      <c r="N32" s="287">
        <v>25000</v>
      </c>
      <c r="O32" s="28">
        <v>0</v>
      </c>
      <c r="P32" s="28">
        <v>0</v>
      </c>
      <c r="Q32" s="28">
        <v>0</v>
      </c>
      <c r="R32" s="320"/>
      <c r="S32" s="287">
        <f t="shared" si="5"/>
        <v>25000</v>
      </c>
      <c r="T32" s="287">
        <v>25000</v>
      </c>
      <c r="U32" s="287">
        <v>25000</v>
      </c>
      <c r="V32" s="263">
        <v>0</v>
      </c>
      <c r="W32" s="263">
        <v>0</v>
      </c>
      <c r="X32" s="263">
        <v>10000</v>
      </c>
      <c r="Y32" s="296"/>
      <c r="Z32" s="296"/>
      <c r="AC32" s="296"/>
    </row>
    <row r="33" spans="1:29" s="106" customFormat="1" ht="12.75" customHeight="1">
      <c r="A33" s="92"/>
      <c r="B33" s="92" t="s">
        <v>219</v>
      </c>
      <c r="C33" s="323">
        <f t="shared" si="3"/>
        <v>15260</v>
      </c>
      <c r="D33" s="29">
        <f t="shared" si="4"/>
        <v>0.04269200210382605</v>
      </c>
      <c r="E33" s="320"/>
      <c r="F33" s="323">
        <v>372704</v>
      </c>
      <c r="G33" s="320">
        <v>357961</v>
      </c>
      <c r="H33" s="320">
        <v>414308</v>
      </c>
      <c r="I33" s="324">
        <v>439902</v>
      </c>
      <c r="J33" s="320">
        <v>357444</v>
      </c>
      <c r="K33" s="320">
        <v>390228</v>
      </c>
      <c r="L33" s="320">
        <v>382313</v>
      </c>
      <c r="M33" s="320">
        <v>389241</v>
      </c>
      <c r="N33" s="287">
        <v>372191</v>
      </c>
      <c r="O33" s="324">
        <v>355228</v>
      </c>
      <c r="P33" s="324">
        <v>327089</v>
      </c>
      <c r="Q33" s="324">
        <v>311198</v>
      </c>
      <c r="R33" s="320"/>
      <c r="S33" s="287">
        <f t="shared" si="5"/>
        <v>372704</v>
      </c>
      <c r="T33" s="287">
        <v>357444</v>
      </c>
      <c r="U33" s="287">
        <v>372191</v>
      </c>
      <c r="V33" s="263">
        <v>287830</v>
      </c>
      <c r="W33" s="263">
        <v>222211</v>
      </c>
      <c r="X33" s="263">
        <v>98687</v>
      </c>
      <c r="Y33" s="296"/>
      <c r="Z33" s="296"/>
      <c r="AC33" s="296"/>
    </row>
    <row r="34" spans="1:29" s="106" customFormat="1" ht="12.75" customHeight="1" thickBot="1">
      <c r="A34" s="228" t="s">
        <v>220</v>
      </c>
      <c r="B34" s="228"/>
      <c r="C34" s="347">
        <f t="shared" si="3"/>
        <v>-76619</v>
      </c>
      <c r="D34" s="268">
        <f t="shared" si="4"/>
        <v>-0.036507525070066583</v>
      </c>
      <c r="E34" s="346"/>
      <c r="F34" s="347">
        <f>F25+F26+F27+F28+F29+F30+F31+F32+F33</f>
        <v>2022099</v>
      </c>
      <c r="G34" s="348">
        <v>1679685</v>
      </c>
      <c r="H34" s="348">
        <f>SUM(H25:H33)</f>
        <v>1942070</v>
      </c>
      <c r="I34" s="349">
        <f>SUM(I25:I33)</f>
        <v>2333893</v>
      </c>
      <c r="J34" s="348">
        <v>2098718</v>
      </c>
      <c r="K34" s="348">
        <v>1972741</v>
      </c>
      <c r="L34" s="348">
        <v>2525725</v>
      </c>
      <c r="M34" s="348">
        <v>2693627</v>
      </c>
      <c r="N34" s="350">
        <v>2609942</v>
      </c>
      <c r="O34" s="349">
        <v>1794143</v>
      </c>
      <c r="P34" s="349">
        <v>1665413</v>
      </c>
      <c r="Q34" s="349">
        <v>1789397</v>
      </c>
      <c r="R34" s="346"/>
      <c r="S34" s="350">
        <f>SUM(S25:S33)</f>
        <v>2022099</v>
      </c>
      <c r="T34" s="350">
        <v>2098718</v>
      </c>
      <c r="U34" s="350">
        <v>2609942</v>
      </c>
      <c r="V34" s="395">
        <v>2177973</v>
      </c>
      <c r="W34" s="395">
        <v>1638165</v>
      </c>
      <c r="X34" s="395">
        <v>1508366</v>
      </c>
      <c r="Y34" s="296"/>
      <c r="Z34" s="296"/>
      <c r="AC34" s="296"/>
    </row>
    <row r="35" spans="1:29" ht="12.75" customHeight="1" thickTop="1">
      <c r="A35" s="229"/>
      <c r="B35" s="229"/>
      <c r="C35" s="340"/>
      <c r="D35" s="40"/>
      <c r="E35" s="40"/>
      <c r="F35" s="40"/>
      <c r="G35" s="40"/>
      <c r="H35" s="40"/>
      <c r="I35" s="476"/>
      <c r="J35" s="476"/>
      <c r="K35" s="476"/>
      <c r="L35" s="476"/>
      <c r="M35" s="476"/>
      <c r="N35" s="476"/>
      <c r="O35" s="476"/>
      <c r="P35" s="476"/>
      <c r="Q35" s="476"/>
      <c r="R35" s="329"/>
      <c r="S35" s="329"/>
      <c r="Y35" s="3"/>
      <c r="Z35" s="3"/>
      <c r="AC35" s="3"/>
    </row>
    <row r="36" spans="1:26" ht="12.75" customHeight="1">
      <c r="A36" s="1" t="s">
        <v>41</v>
      </c>
      <c r="B36" s="13"/>
      <c r="C36" s="341"/>
      <c r="D36" s="341"/>
      <c r="E36" s="341"/>
      <c r="F36" s="341"/>
      <c r="G36" s="341"/>
      <c r="H36" s="341"/>
      <c r="I36" s="2"/>
      <c r="M36" s="2"/>
      <c r="O36" s="2"/>
      <c r="P36" s="2"/>
      <c r="Q36" s="342"/>
      <c r="R36" s="331"/>
      <c r="S36" s="331"/>
      <c r="X36" s="3"/>
      <c r="Y36" s="3"/>
      <c r="Z36" s="3"/>
    </row>
    <row r="37" spans="1:26" ht="12.75">
      <c r="A37" s="3"/>
      <c r="B37" s="3"/>
      <c r="C37" s="329"/>
      <c r="D37" s="329"/>
      <c r="E37" s="329"/>
      <c r="F37" s="329"/>
      <c r="G37" s="329"/>
      <c r="H37" s="329"/>
      <c r="I37" s="31"/>
      <c r="J37" s="43"/>
      <c r="K37" s="31"/>
      <c r="M37" s="31"/>
      <c r="N37" s="36"/>
      <c r="O37" s="36"/>
      <c r="P37" s="33"/>
      <c r="Q37" s="341"/>
      <c r="R37" s="331"/>
      <c r="S37" s="331"/>
      <c r="T37" s="340"/>
      <c r="U37" s="340"/>
      <c r="X37" s="3"/>
      <c r="Y37" s="3"/>
      <c r="Z37" s="3"/>
    </row>
    <row r="38" spans="3:26" ht="12.75">
      <c r="C38" s="92"/>
      <c r="D38" s="92"/>
      <c r="E38" s="233"/>
      <c r="F38" s="233"/>
      <c r="G38" s="233"/>
      <c r="H38" s="233"/>
      <c r="I38" s="329"/>
      <c r="J38" s="331"/>
      <c r="K38" s="331"/>
      <c r="L38" s="331"/>
      <c r="M38" s="320"/>
      <c r="N38" s="320"/>
      <c r="O38" s="320"/>
      <c r="P38" s="320"/>
      <c r="Q38" s="30"/>
      <c r="R38" s="92"/>
      <c r="S38" s="92"/>
      <c r="T38" s="30"/>
      <c r="U38" s="30"/>
      <c r="X38" s="3"/>
      <c r="Y38" s="3"/>
      <c r="Z38" s="3"/>
    </row>
    <row r="39" spans="3:26" ht="12.75">
      <c r="C39" s="92"/>
      <c r="D39" s="92"/>
      <c r="E39" s="233"/>
      <c r="F39" s="396">
        <f>F34-F22</f>
        <v>0</v>
      </c>
      <c r="G39" s="396">
        <v>0</v>
      </c>
      <c r="H39" s="396">
        <f>H34-H22</f>
        <v>0</v>
      </c>
      <c r="I39" s="396">
        <f>I34-I22</f>
        <v>0</v>
      </c>
      <c r="J39" s="396">
        <f aca="true" t="shared" si="6" ref="J39:X39">J34-J22</f>
        <v>0</v>
      </c>
      <c r="K39" s="396">
        <f t="shared" si="6"/>
        <v>0</v>
      </c>
      <c r="L39" s="396">
        <f t="shared" si="6"/>
        <v>0</v>
      </c>
      <c r="M39" s="396">
        <f t="shared" si="6"/>
        <v>0</v>
      </c>
      <c r="N39" s="396">
        <f t="shared" si="6"/>
        <v>0</v>
      </c>
      <c r="O39" s="396">
        <f t="shared" si="6"/>
        <v>0</v>
      </c>
      <c r="P39" s="396">
        <f t="shared" si="6"/>
        <v>0</v>
      </c>
      <c r="Q39" s="396">
        <f t="shared" si="6"/>
        <v>0</v>
      </c>
      <c r="R39" s="396"/>
      <c r="S39" s="396">
        <f t="shared" si="6"/>
        <v>0</v>
      </c>
      <c r="T39" s="396">
        <f t="shared" si="6"/>
        <v>0</v>
      </c>
      <c r="U39" s="396">
        <f t="shared" si="6"/>
        <v>0</v>
      </c>
      <c r="V39" s="396">
        <f t="shared" si="6"/>
        <v>0</v>
      </c>
      <c r="W39" s="396">
        <f t="shared" si="6"/>
        <v>0</v>
      </c>
      <c r="X39" s="396">
        <f t="shared" si="6"/>
        <v>0</v>
      </c>
      <c r="Y39" s="3"/>
      <c r="Z39" s="3"/>
    </row>
    <row r="40" spans="3:21" ht="12.75">
      <c r="C40" s="92"/>
      <c r="D40" s="92"/>
      <c r="E40" s="233"/>
      <c r="F40" s="233"/>
      <c r="G40" s="233"/>
      <c r="H40" s="233"/>
      <c r="Q40" s="30"/>
      <c r="R40" s="92"/>
      <c r="S40" s="92"/>
      <c r="T40" s="30"/>
      <c r="U40" s="30"/>
    </row>
    <row r="41" spans="3:21" ht="12.75">
      <c r="C41" s="92"/>
      <c r="D41" s="92"/>
      <c r="E41" s="233"/>
      <c r="F41" s="233"/>
      <c r="G41" s="233"/>
      <c r="H41" s="233"/>
      <c r="Q41" s="30"/>
      <c r="R41" s="92"/>
      <c r="S41" s="92"/>
      <c r="T41" s="7"/>
      <c r="U41" s="7"/>
    </row>
    <row r="42" spans="17:21" ht="12.75">
      <c r="Q42" s="11"/>
      <c r="T42" s="31"/>
      <c r="U42" s="31"/>
    </row>
    <row r="43" spans="17:21" ht="12.75">
      <c r="Q43" s="32"/>
      <c r="T43" s="2"/>
      <c r="U43" s="2"/>
    </row>
    <row r="44" spans="17:21" ht="12.75">
      <c r="Q44" s="237"/>
      <c r="T44" s="2"/>
      <c r="U44" s="2"/>
    </row>
    <row r="45" spans="17:21" ht="12.75">
      <c r="Q45" s="2"/>
      <c r="T45" s="50"/>
      <c r="U45" s="50"/>
    </row>
    <row r="46" spans="17:21" ht="12.75">
      <c r="Q46" s="1"/>
      <c r="T46" s="50"/>
      <c r="U46" s="50"/>
    </row>
    <row r="47" spans="17:21" ht="12.75">
      <c r="Q47" s="31"/>
      <c r="T47" s="51"/>
      <c r="U47" s="51"/>
    </row>
    <row r="48" spans="17:21" ht="12.75">
      <c r="Q48" s="31"/>
      <c r="T48" s="51"/>
      <c r="U48" s="51"/>
    </row>
    <row r="49" spans="17:21" ht="12.75">
      <c r="Q49" s="46"/>
      <c r="T49" s="52"/>
      <c r="U49" s="52"/>
    </row>
    <row r="50" spans="17:21" ht="12.75">
      <c r="Q50" s="40"/>
      <c r="T50" s="34"/>
      <c r="U50" s="34"/>
    </row>
    <row r="51" spans="17:21" ht="12.75">
      <c r="Q51" s="34"/>
      <c r="T51" s="35"/>
      <c r="U51" s="35"/>
    </row>
    <row r="52" spans="17:21" ht="12.75">
      <c r="Q52" s="35"/>
      <c r="T52" s="35"/>
      <c r="U52" s="35"/>
    </row>
    <row r="53" spans="17:21" ht="12.75">
      <c r="Q53" s="35"/>
      <c r="T53" s="3"/>
      <c r="U53" s="3"/>
    </row>
    <row r="54" spans="17:21" ht="12.75">
      <c r="Q54" s="3"/>
      <c r="T54" s="3"/>
      <c r="U54" s="3"/>
    </row>
    <row r="55" spans="17:21" ht="12.75">
      <c r="Q55" s="3"/>
      <c r="T55" s="3"/>
      <c r="U55" s="3"/>
    </row>
    <row r="56" spans="20:21" ht="12.75">
      <c r="T56" s="3"/>
      <c r="U56" s="3"/>
    </row>
    <row r="57" spans="20:21" ht="12.75">
      <c r="T57" s="3"/>
      <c r="U57" s="3"/>
    </row>
  </sheetData>
  <mergeCells count="2">
    <mergeCell ref="C9:D9"/>
    <mergeCell ref="C10:D10"/>
  </mergeCells>
  <conditionalFormatting sqref="A35:B35">
    <cfRule type="cellIs" priority="1" dxfId="0" operator="equal" stopIfTrue="1">
      <formula>0</formula>
    </cfRule>
  </conditionalFormatting>
  <printOptions/>
  <pageMargins left="0.33" right="0.18" top="0.41" bottom="0.59" header="0.38" footer="0.36"/>
  <pageSetup horizontalDpi="600" verticalDpi="600" orientation="landscape" scale="60" r:id="rId2"/>
  <headerFooter alignWithMargins="0">
    <oddFooter>&amp;LCCI Supplementary Fiscal Q4/09 - May 20, 2009&amp;CPage 9</oddFooter>
  </headerFooter>
  <drawing r:id="rId1"/>
</worksheet>
</file>

<file path=xl/worksheets/sheet12.xml><?xml version="1.0" encoding="utf-8"?>
<worksheet xmlns="http://schemas.openxmlformats.org/spreadsheetml/2006/main" xmlns:r="http://schemas.openxmlformats.org/officeDocument/2006/relationships">
  <dimension ref="A5:AK59"/>
  <sheetViews>
    <sheetView zoomScale="75" zoomScaleNormal="75" workbookViewId="0" topLeftCell="A1">
      <pane ySplit="9" topLeftCell="BM10" activePane="bottomLeft" state="frozen"/>
      <selection pane="topLeft" activeCell="B36" sqref="B36:L37"/>
      <selection pane="bottomLeft" activeCell="B36" sqref="B36:L37"/>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7109375" style="3" customWidth="1"/>
    <col min="9" max="14" width="9.7109375" style="0" customWidth="1"/>
    <col min="15" max="17" width="9.7109375" style="0" hidden="1" customWidth="1"/>
    <col min="18" max="18" width="1.57421875" style="0" customWidth="1"/>
    <col min="19" max="20" width="9.7109375" style="0" hidden="1" customWidth="1"/>
    <col min="21" max="22" width="9.7109375" style="0" customWidth="1"/>
    <col min="23" max="23" width="1.57421875" style="0" customWidth="1"/>
    <col min="24" max="28" width="9.7109375" style="0" customWidth="1"/>
    <col min="29" max="29" width="9.7109375" style="0" hidden="1" customWidth="1"/>
    <col min="30" max="30" width="1.57421875" style="0" customWidth="1"/>
  </cols>
  <sheetData>
    <row r="1" ht="12.75"/>
    <row r="2" ht="12.75"/>
    <row r="3" ht="12.75"/>
    <row r="4" ht="12.75"/>
    <row r="5" spans="1:11" ht="12.75">
      <c r="A5" s="3"/>
      <c r="B5" s="3"/>
      <c r="C5" s="3"/>
      <c r="D5" s="3"/>
      <c r="I5" s="3"/>
      <c r="J5" s="3"/>
      <c r="K5" s="3"/>
    </row>
    <row r="6" spans="1:11" ht="18" customHeight="1">
      <c r="A6" s="351" t="s">
        <v>75</v>
      </c>
      <c r="B6" s="3"/>
      <c r="C6" s="3"/>
      <c r="D6" s="3"/>
      <c r="I6" s="3"/>
      <c r="J6" s="3"/>
      <c r="K6" s="3"/>
    </row>
    <row r="7" spans="1:28" ht="9.75" customHeight="1">
      <c r="A7" s="2"/>
      <c r="B7" s="2"/>
      <c r="C7" s="2"/>
      <c r="D7" s="2"/>
      <c r="E7" s="2"/>
      <c r="F7" s="563"/>
      <c r="G7" s="2"/>
      <c r="H7" s="2"/>
      <c r="I7" s="3"/>
      <c r="J7" s="3"/>
      <c r="K7" s="3"/>
      <c r="AA7" s="3"/>
      <c r="AB7" s="3"/>
    </row>
    <row r="8" spans="1:29" ht="12.75">
      <c r="A8" s="6"/>
      <c r="B8" s="7"/>
      <c r="C8" s="611" t="s">
        <v>286</v>
      </c>
      <c r="D8" s="629"/>
      <c r="E8" s="15"/>
      <c r="F8" s="17"/>
      <c r="G8" s="18"/>
      <c r="H8" s="18"/>
      <c r="I8" s="19"/>
      <c r="J8" s="18"/>
      <c r="K8" s="18"/>
      <c r="L8" s="18"/>
      <c r="M8" s="18"/>
      <c r="N8" s="22"/>
      <c r="O8" s="19"/>
      <c r="P8" s="19"/>
      <c r="Q8" s="19"/>
      <c r="R8" s="24"/>
      <c r="S8" s="611" t="s">
        <v>285</v>
      </c>
      <c r="T8" s="602"/>
      <c r="U8" s="602"/>
      <c r="V8" s="603"/>
      <c r="W8" s="15"/>
      <c r="X8" s="98"/>
      <c r="Y8" s="17"/>
      <c r="Z8" s="22"/>
      <c r="AA8" s="98"/>
      <c r="AB8" s="98"/>
      <c r="AC8" s="98"/>
    </row>
    <row r="9" spans="1:37" ht="12.75">
      <c r="A9" s="352" t="s">
        <v>1</v>
      </c>
      <c r="B9" s="7"/>
      <c r="C9" s="644" t="s">
        <v>51</v>
      </c>
      <c r="D9" s="608"/>
      <c r="E9" s="16"/>
      <c r="F9" s="20" t="s">
        <v>166</v>
      </c>
      <c r="G9" s="21" t="s">
        <v>167</v>
      </c>
      <c r="H9" s="21" t="s">
        <v>168</v>
      </c>
      <c r="I9" s="14" t="s">
        <v>42</v>
      </c>
      <c r="J9" s="15" t="s">
        <v>43</v>
      </c>
      <c r="K9" s="15" t="s">
        <v>44</v>
      </c>
      <c r="L9" s="15" t="s">
        <v>45</v>
      </c>
      <c r="M9" s="15" t="s">
        <v>46</v>
      </c>
      <c r="N9" s="345" t="s">
        <v>47</v>
      </c>
      <c r="O9" s="319" t="s">
        <v>48</v>
      </c>
      <c r="P9" s="319" t="s">
        <v>49</v>
      </c>
      <c r="Q9" s="319" t="s">
        <v>50</v>
      </c>
      <c r="R9" s="345"/>
      <c r="S9" s="20" t="s">
        <v>55</v>
      </c>
      <c r="T9" s="21" t="s">
        <v>52</v>
      </c>
      <c r="U9" s="643" t="s">
        <v>51</v>
      </c>
      <c r="V9" s="631"/>
      <c r="W9" s="16"/>
      <c r="X9" s="318" t="s">
        <v>55</v>
      </c>
      <c r="Y9" s="318" t="s">
        <v>52</v>
      </c>
      <c r="Z9" s="345" t="s">
        <v>53</v>
      </c>
      <c r="AA9" s="23" t="s">
        <v>242</v>
      </c>
      <c r="AB9" s="23" t="s">
        <v>243</v>
      </c>
      <c r="AC9" s="23" t="s">
        <v>249</v>
      </c>
      <c r="AD9" s="3"/>
      <c r="AE9" s="3"/>
      <c r="AF9" s="3"/>
      <c r="AG9" s="3"/>
      <c r="AH9" s="3"/>
      <c r="AI9" s="3"/>
      <c r="AJ9" s="3"/>
      <c r="AK9" s="3"/>
    </row>
    <row r="10" spans="1:35" ht="12.75" customHeight="1">
      <c r="A10" s="227"/>
      <c r="B10" s="8"/>
      <c r="C10" s="282"/>
      <c r="D10" s="250"/>
      <c r="E10" s="233"/>
      <c r="F10" s="249"/>
      <c r="G10" s="233"/>
      <c r="H10" s="233"/>
      <c r="I10" s="251"/>
      <c r="J10" s="281"/>
      <c r="K10" s="281"/>
      <c r="L10" s="281"/>
      <c r="M10" s="250"/>
      <c r="N10" s="280"/>
      <c r="O10" s="250"/>
      <c r="P10" s="250"/>
      <c r="Q10" s="250"/>
      <c r="R10" s="99"/>
      <c r="S10" s="249"/>
      <c r="T10" s="233"/>
      <c r="U10" s="233"/>
      <c r="V10" s="251"/>
      <c r="W10" s="233"/>
      <c r="X10" s="280"/>
      <c r="Y10" s="280"/>
      <c r="Z10" s="280"/>
      <c r="AA10" s="368"/>
      <c r="AB10" s="368"/>
      <c r="AC10" s="368"/>
      <c r="AD10" s="3"/>
      <c r="AE10" s="3"/>
      <c r="AF10" s="3"/>
      <c r="AG10" s="3"/>
      <c r="AH10" s="3"/>
      <c r="AI10" s="3"/>
    </row>
    <row r="11" spans="1:35" ht="12.75" customHeight="1">
      <c r="A11" s="353" t="s">
        <v>221</v>
      </c>
      <c r="B11" s="353"/>
      <c r="C11" s="328"/>
      <c r="D11" s="29"/>
      <c r="E11" s="40"/>
      <c r="F11" s="496"/>
      <c r="G11" s="40"/>
      <c r="H11" s="40"/>
      <c r="I11" s="324"/>
      <c r="J11" s="320"/>
      <c r="K11" s="320"/>
      <c r="L11" s="320"/>
      <c r="M11" s="324"/>
      <c r="N11" s="287"/>
      <c r="O11" s="324"/>
      <c r="P11" s="324"/>
      <c r="Q11" s="324"/>
      <c r="R11" s="289"/>
      <c r="S11" s="330"/>
      <c r="T11" s="329"/>
      <c r="U11" s="340"/>
      <c r="V11" s="29"/>
      <c r="W11" s="329"/>
      <c r="X11" s="287"/>
      <c r="Y11" s="287"/>
      <c r="Z11" s="287"/>
      <c r="AA11" s="42"/>
      <c r="AB11" s="42"/>
      <c r="AC11" s="42"/>
      <c r="AD11" s="3"/>
      <c r="AE11" s="3"/>
      <c r="AF11" s="3"/>
      <c r="AG11" s="3"/>
      <c r="AH11" s="3"/>
      <c r="AI11" s="3"/>
    </row>
    <row r="12" spans="1:35" ht="12.75" customHeight="1">
      <c r="A12" s="229"/>
      <c r="B12" s="229" t="s">
        <v>222</v>
      </c>
      <c r="C12" s="323">
        <f>F12-J12</f>
        <v>-44</v>
      </c>
      <c r="D12" s="29">
        <f>C12/J12</f>
        <v>-0.17391304347826086</v>
      </c>
      <c r="E12" s="40"/>
      <c r="F12" s="575">
        <v>209</v>
      </c>
      <c r="G12" s="529">
        <v>211</v>
      </c>
      <c r="H12" s="529">
        <v>248</v>
      </c>
      <c r="I12" s="324">
        <v>251</v>
      </c>
      <c r="J12" s="400">
        <v>253</v>
      </c>
      <c r="K12" s="400">
        <v>254</v>
      </c>
      <c r="L12" s="400">
        <v>264</v>
      </c>
      <c r="M12" s="463">
        <v>260</v>
      </c>
      <c r="N12" s="265">
        <v>246</v>
      </c>
      <c r="O12" s="463">
        <v>237</v>
      </c>
      <c r="P12" s="463">
        <v>241</v>
      </c>
      <c r="Q12" s="463">
        <v>239</v>
      </c>
      <c r="R12" s="360"/>
      <c r="S12" s="399">
        <f aca="true" t="shared" si="0" ref="S12:T15">X12</f>
        <v>209</v>
      </c>
      <c r="T12" s="358">
        <f t="shared" si="0"/>
        <v>253</v>
      </c>
      <c r="U12" s="320">
        <f>S12-T12</f>
        <v>-44</v>
      </c>
      <c r="V12" s="29">
        <f>U12/T12</f>
        <v>-0.17391304347826086</v>
      </c>
      <c r="W12" s="358"/>
      <c r="X12" s="287">
        <f>F12</f>
        <v>209</v>
      </c>
      <c r="Y12" s="265">
        <v>253</v>
      </c>
      <c r="Z12" s="265">
        <v>246</v>
      </c>
      <c r="AA12" s="246">
        <v>233</v>
      </c>
      <c r="AB12" s="246">
        <v>209</v>
      </c>
      <c r="AC12" s="246">
        <v>185</v>
      </c>
      <c r="AD12" s="92"/>
      <c r="AI12" s="3"/>
    </row>
    <row r="13" spans="1:35" ht="12.75" customHeight="1">
      <c r="A13" s="229"/>
      <c r="B13" s="229" t="s">
        <v>223</v>
      </c>
      <c r="C13" s="323">
        <f>F13-J13</f>
        <v>-62</v>
      </c>
      <c r="D13" s="29">
        <f>C13/J13</f>
        <v>-0.08136482939632546</v>
      </c>
      <c r="E13" s="40"/>
      <c r="F13" s="575">
        <v>700</v>
      </c>
      <c r="G13" s="529">
        <v>725</v>
      </c>
      <c r="H13" s="529">
        <v>744</v>
      </c>
      <c r="I13" s="324">
        <v>760</v>
      </c>
      <c r="J13" s="400">
        <v>762</v>
      </c>
      <c r="K13" s="400">
        <v>772</v>
      </c>
      <c r="L13" s="400">
        <v>784</v>
      </c>
      <c r="M13" s="463">
        <v>757</v>
      </c>
      <c r="N13" s="265">
        <v>728</v>
      </c>
      <c r="O13" s="463">
        <v>725</v>
      </c>
      <c r="P13" s="463">
        <v>719</v>
      </c>
      <c r="Q13" s="463">
        <v>710</v>
      </c>
      <c r="R13" s="360"/>
      <c r="S13" s="399">
        <f t="shared" si="0"/>
        <v>700</v>
      </c>
      <c r="T13" s="358">
        <f t="shared" si="0"/>
        <v>762</v>
      </c>
      <c r="U13" s="320">
        <f aca="true" t="shared" si="1" ref="U13:U41">S13-T13</f>
        <v>-62</v>
      </c>
      <c r="V13" s="29">
        <f aca="true" t="shared" si="2" ref="V13:V41">U13/T13</f>
        <v>-0.08136482939632546</v>
      </c>
      <c r="W13" s="358"/>
      <c r="X13" s="287">
        <f>F13</f>
        <v>700</v>
      </c>
      <c r="Y13" s="265">
        <v>762</v>
      </c>
      <c r="Z13" s="265">
        <v>728</v>
      </c>
      <c r="AA13" s="246">
        <v>689</v>
      </c>
      <c r="AB13" s="246">
        <v>657</v>
      </c>
      <c r="AC13" s="246">
        <v>623</v>
      </c>
      <c r="AD13" s="92"/>
      <c r="AI13" s="3"/>
    </row>
    <row r="14" spans="1:35" ht="12.75" customHeight="1">
      <c r="A14" s="229"/>
      <c r="B14" s="229" t="s">
        <v>224</v>
      </c>
      <c r="C14" s="323">
        <f>F14-J14</f>
        <v>-24</v>
      </c>
      <c r="D14" s="29">
        <f>C14/J14</f>
        <v>-0.06315789473684211</v>
      </c>
      <c r="E14" s="40"/>
      <c r="F14" s="575">
        <v>356</v>
      </c>
      <c r="G14" s="529">
        <v>365</v>
      </c>
      <c r="H14" s="529">
        <v>393</v>
      </c>
      <c r="I14" s="324">
        <v>393</v>
      </c>
      <c r="J14" s="400">
        <v>380</v>
      </c>
      <c r="K14" s="400">
        <v>373</v>
      </c>
      <c r="L14" s="400">
        <v>370</v>
      </c>
      <c r="M14" s="463">
        <v>366</v>
      </c>
      <c r="N14" s="265">
        <v>360</v>
      </c>
      <c r="O14" s="463">
        <v>348</v>
      </c>
      <c r="P14" s="463">
        <v>349</v>
      </c>
      <c r="Q14" s="463">
        <v>343</v>
      </c>
      <c r="R14" s="360"/>
      <c r="S14" s="399">
        <f t="shared" si="0"/>
        <v>356</v>
      </c>
      <c r="T14" s="358">
        <f t="shared" si="0"/>
        <v>380</v>
      </c>
      <c r="U14" s="320">
        <f t="shared" si="1"/>
        <v>-24</v>
      </c>
      <c r="V14" s="29">
        <f t="shared" si="2"/>
        <v>-0.06315789473684211</v>
      </c>
      <c r="W14" s="358"/>
      <c r="X14" s="287">
        <f>F14</f>
        <v>356</v>
      </c>
      <c r="Y14" s="265">
        <v>380</v>
      </c>
      <c r="Z14" s="265">
        <v>360</v>
      </c>
      <c r="AA14" s="246">
        <v>335</v>
      </c>
      <c r="AB14" s="246">
        <v>324</v>
      </c>
      <c r="AC14" s="246">
        <v>296</v>
      </c>
      <c r="AD14" s="92"/>
      <c r="AI14" s="3"/>
    </row>
    <row r="15" spans="1:35" ht="12.75" customHeight="1">
      <c r="A15" s="229"/>
      <c r="B15" s="229" t="s">
        <v>174</v>
      </c>
      <c r="C15" s="323">
        <f>F15-J15</f>
        <v>-130</v>
      </c>
      <c r="D15" s="29">
        <f>C15/J15</f>
        <v>-0.0931899641577061</v>
      </c>
      <c r="E15" s="40"/>
      <c r="F15" s="575">
        <f>F12+F13+F14</f>
        <v>1265</v>
      </c>
      <c r="G15" s="529">
        <v>1301</v>
      </c>
      <c r="H15" s="529">
        <v>1385</v>
      </c>
      <c r="I15" s="324">
        <f>SUM(I12:I14)</f>
        <v>1404</v>
      </c>
      <c r="J15" s="400">
        <v>1395</v>
      </c>
      <c r="K15" s="400">
        <v>1399</v>
      </c>
      <c r="L15" s="400">
        <v>1418</v>
      </c>
      <c r="M15" s="463">
        <v>1383</v>
      </c>
      <c r="N15" s="265">
        <v>1334</v>
      </c>
      <c r="O15" s="463">
        <v>1310</v>
      </c>
      <c r="P15" s="463">
        <v>1309</v>
      </c>
      <c r="Q15" s="463">
        <v>1292</v>
      </c>
      <c r="R15" s="360"/>
      <c r="S15" s="399">
        <f t="shared" si="0"/>
        <v>1265</v>
      </c>
      <c r="T15" s="358">
        <f t="shared" si="0"/>
        <v>1395</v>
      </c>
      <c r="U15" s="320">
        <f t="shared" si="1"/>
        <v>-130</v>
      </c>
      <c r="V15" s="29">
        <f t="shared" si="2"/>
        <v>-0.0931899641577061</v>
      </c>
      <c r="W15" s="358"/>
      <c r="X15" s="287">
        <f>F15</f>
        <v>1265</v>
      </c>
      <c r="Y15" s="265">
        <v>1395</v>
      </c>
      <c r="Z15" s="265">
        <v>1334</v>
      </c>
      <c r="AA15" s="246">
        <v>1257</v>
      </c>
      <c r="AB15" s="246">
        <v>1190</v>
      </c>
      <c r="AC15" s="246">
        <v>1104</v>
      </c>
      <c r="AD15" s="92"/>
      <c r="AI15" s="3"/>
    </row>
    <row r="16" spans="1:35" ht="12.75" customHeight="1">
      <c r="A16" s="229"/>
      <c r="B16" s="229"/>
      <c r="C16" s="323"/>
      <c r="D16" s="29"/>
      <c r="E16" s="40"/>
      <c r="F16" s="575"/>
      <c r="G16" s="529"/>
      <c r="H16" s="529"/>
      <c r="I16" s="324"/>
      <c r="J16" s="400"/>
      <c r="K16" s="400"/>
      <c r="L16" s="400"/>
      <c r="M16" s="463"/>
      <c r="N16" s="265"/>
      <c r="O16" s="463"/>
      <c r="P16" s="463"/>
      <c r="Q16" s="463"/>
      <c r="R16" s="360"/>
      <c r="S16" s="399"/>
      <c r="T16" s="358"/>
      <c r="U16" s="320"/>
      <c r="V16" s="29"/>
      <c r="W16" s="358"/>
      <c r="X16" s="287"/>
      <c r="Y16" s="265"/>
      <c r="Z16" s="265"/>
      <c r="AA16" s="246"/>
      <c r="AB16" s="246"/>
      <c r="AC16" s="246"/>
      <c r="AD16" s="92"/>
      <c r="AI16" s="3"/>
    </row>
    <row r="17" spans="1:35" ht="12.75" customHeight="1">
      <c r="A17" s="353" t="s">
        <v>225</v>
      </c>
      <c r="B17" s="353"/>
      <c r="C17" s="323"/>
      <c r="D17" s="29"/>
      <c r="E17" s="40"/>
      <c r="F17" s="575"/>
      <c r="G17" s="529"/>
      <c r="H17" s="529"/>
      <c r="I17" s="324"/>
      <c r="J17" s="400"/>
      <c r="K17" s="400"/>
      <c r="L17" s="400"/>
      <c r="M17" s="463"/>
      <c r="N17" s="265"/>
      <c r="O17" s="463"/>
      <c r="P17" s="463"/>
      <c r="Q17" s="463"/>
      <c r="R17" s="360"/>
      <c r="S17" s="399"/>
      <c r="T17" s="358"/>
      <c r="U17" s="320"/>
      <c r="V17" s="29"/>
      <c r="W17" s="358"/>
      <c r="X17" s="287"/>
      <c r="Y17" s="265"/>
      <c r="Z17" s="265"/>
      <c r="AA17" s="246"/>
      <c r="AB17" s="246"/>
      <c r="AC17" s="246"/>
      <c r="AD17" s="92"/>
      <c r="AI17" s="3"/>
    </row>
    <row r="18" spans="1:35" ht="12.75" customHeight="1">
      <c r="A18" s="229"/>
      <c r="B18" s="229" t="s">
        <v>222</v>
      </c>
      <c r="C18" s="323">
        <f>F18-J18</f>
        <v>-11</v>
      </c>
      <c r="D18" s="29">
        <f>C18/J18</f>
        <v>-0.088</v>
      </c>
      <c r="E18" s="40"/>
      <c r="F18" s="575">
        <v>114</v>
      </c>
      <c r="G18" s="529">
        <v>117</v>
      </c>
      <c r="H18" s="529">
        <v>127</v>
      </c>
      <c r="I18" s="324">
        <v>125</v>
      </c>
      <c r="J18" s="400">
        <v>125</v>
      </c>
      <c r="K18" s="400">
        <v>116</v>
      </c>
      <c r="L18" s="400">
        <v>109</v>
      </c>
      <c r="M18" s="463">
        <v>104</v>
      </c>
      <c r="N18" s="265">
        <v>93</v>
      </c>
      <c r="O18" s="463">
        <v>95</v>
      </c>
      <c r="P18" s="463">
        <v>89</v>
      </c>
      <c r="Q18" s="463">
        <v>88</v>
      </c>
      <c r="R18" s="360"/>
      <c r="S18" s="399">
        <f>X18</f>
        <v>114</v>
      </c>
      <c r="T18" s="358">
        <f>Y18</f>
        <v>125</v>
      </c>
      <c r="U18" s="320">
        <f t="shared" si="1"/>
        <v>-11</v>
      </c>
      <c r="V18" s="29">
        <f t="shared" si="2"/>
        <v>-0.088</v>
      </c>
      <c r="W18" s="358"/>
      <c r="X18" s="287">
        <f>F18</f>
        <v>114</v>
      </c>
      <c r="Y18" s="265">
        <v>125</v>
      </c>
      <c r="Z18" s="265">
        <v>93</v>
      </c>
      <c r="AA18" s="246">
        <v>81</v>
      </c>
      <c r="AB18" s="246">
        <v>70</v>
      </c>
      <c r="AC18" s="246">
        <v>52</v>
      </c>
      <c r="AD18" s="92"/>
      <c r="AI18" s="3"/>
    </row>
    <row r="19" spans="1:35" ht="12.75" customHeight="1">
      <c r="A19" s="229"/>
      <c r="B19" s="229"/>
      <c r="C19" s="323"/>
      <c r="D19" s="29"/>
      <c r="E19" s="40"/>
      <c r="F19" s="575"/>
      <c r="G19" s="529"/>
      <c r="H19" s="529"/>
      <c r="I19" s="324"/>
      <c r="J19" s="400"/>
      <c r="K19" s="400"/>
      <c r="L19" s="400"/>
      <c r="M19" s="463"/>
      <c r="N19" s="265"/>
      <c r="O19" s="463"/>
      <c r="P19" s="463"/>
      <c r="Q19" s="463"/>
      <c r="R19" s="360"/>
      <c r="S19" s="399"/>
      <c r="T19" s="358"/>
      <c r="U19" s="320"/>
      <c r="V19" s="29"/>
      <c r="W19" s="358"/>
      <c r="X19" s="287"/>
      <c r="Y19" s="265"/>
      <c r="Z19" s="265"/>
      <c r="AA19" s="246"/>
      <c r="AB19" s="246"/>
      <c r="AC19" s="246"/>
      <c r="AD19" s="92"/>
      <c r="AI19" s="3"/>
    </row>
    <row r="20" spans="1:35" ht="12.75" customHeight="1">
      <c r="A20" s="353" t="s">
        <v>226</v>
      </c>
      <c r="B20" s="353"/>
      <c r="C20" s="323"/>
      <c r="D20" s="29"/>
      <c r="E20" s="40"/>
      <c r="F20" s="575"/>
      <c r="G20" s="529"/>
      <c r="H20" s="529"/>
      <c r="I20" s="324"/>
      <c r="J20" s="400"/>
      <c r="K20" s="400"/>
      <c r="L20" s="400"/>
      <c r="M20" s="463"/>
      <c r="N20" s="265"/>
      <c r="O20" s="463"/>
      <c r="P20" s="463"/>
      <c r="Q20" s="463"/>
      <c r="R20" s="360"/>
      <c r="S20" s="399"/>
      <c r="T20" s="358"/>
      <c r="U20" s="320"/>
      <c r="V20" s="29"/>
      <c r="W20" s="358"/>
      <c r="X20" s="287"/>
      <c r="Y20" s="265"/>
      <c r="Z20" s="265"/>
      <c r="AA20" s="246"/>
      <c r="AB20" s="246"/>
      <c r="AC20" s="246"/>
      <c r="AD20" s="92"/>
      <c r="AI20" s="3"/>
    </row>
    <row r="21" spans="1:35" ht="12.75" customHeight="1">
      <c r="A21" s="229"/>
      <c r="B21" s="229" t="s">
        <v>222</v>
      </c>
      <c r="C21" s="323">
        <f>F21-J21</f>
        <v>-12</v>
      </c>
      <c r="D21" s="29">
        <f>C21/J21</f>
        <v>-0.0736196319018405</v>
      </c>
      <c r="E21" s="40"/>
      <c r="F21" s="575">
        <v>151</v>
      </c>
      <c r="G21" s="529">
        <v>152</v>
      </c>
      <c r="H21" s="529">
        <v>176</v>
      </c>
      <c r="I21" s="324">
        <v>169</v>
      </c>
      <c r="J21" s="400">
        <v>163</v>
      </c>
      <c r="K21" s="400">
        <v>161</v>
      </c>
      <c r="L21" s="400">
        <v>162</v>
      </c>
      <c r="M21" s="463">
        <v>170</v>
      </c>
      <c r="N21" s="265">
        <v>163</v>
      </c>
      <c r="O21" s="463">
        <v>170</v>
      </c>
      <c r="P21" s="463">
        <v>164</v>
      </c>
      <c r="Q21" s="463">
        <v>154</v>
      </c>
      <c r="R21" s="360"/>
      <c r="S21" s="399">
        <f>X21</f>
        <v>151</v>
      </c>
      <c r="T21" s="358">
        <f>Y21</f>
        <v>163</v>
      </c>
      <c r="U21" s="320">
        <f t="shared" si="1"/>
        <v>-12</v>
      </c>
      <c r="V21" s="29">
        <f t="shared" si="2"/>
        <v>-0.0736196319018405</v>
      </c>
      <c r="W21" s="358"/>
      <c r="X21" s="287">
        <f>F21</f>
        <v>151</v>
      </c>
      <c r="Y21" s="265">
        <v>163</v>
      </c>
      <c r="Z21" s="265">
        <v>163</v>
      </c>
      <c r="AA21" s="246">
        <v>150</v>
      </c>
      <c r="AB21" s="246">
        <v>0</v>
      </c>
      <c r="AC21" s="246">
        <v>0</v>
      </c>
      <c r="AD21" s="92"/>
      <c r="AI21" s="3"/>
    </row>
    <row r="22" spans="1:35" ht="12.75" customHeight="1">
      <c r="A22" s="229"/>
      <c r="B22" s="229"/>
      <c r="C22" s="323"/>
      <c r="D22" s="29"/>
      <c r="E22" s="40"/>
      <c r="F22" s="575"/>
      <c r="G22" s="529"/>
      <c r="H22" s="529"/>
      <c r="I22" s="324"/>
      <c r="J22" s="400"/>
      <c r="K22" s="400"/>
      <c r="L22" s="400"/>
      <c r="M22" s="463"/>
      <c r="N22" s="265"/>
      <c r="O22" s="463"/>
      <c r="P22" s="463"/>
      <c r="Q22" s="463"/>
      <c r="R22" s="360"/>
      <c r="S22" s="399"/>
      <c r="T22" s="358"/>
      <c r="U22" s="320"/>
      <c r="V22" s="29"/>
      <c r="W22" s="358"/>
      <c r="X22" s="287"/>
      <c r="Y22" s="265"/>
      <c r="Z22" s="265"/>
      <c r="AA22" s="246"/>
      <c r="AB22" s="246"/>
      <c r="AC22" s="246"/>
      <c r="AD22" s="92"/>
      <c r="AI22" s="3"/>
    </row>
    <row r="23" spans="1:35" ht="12.75" customHeight="1">
      <c r="A23" s="353" t="s">
        <v>264</v>
      </c>
      <c r="B23" s="229"/>
      <c r="C23" s="323">
        <f>F23-J23</f>
        <v>-153</v>
      </c>
      <c r="D23" s="29">
        <f>C23/J23</f>
        <v>-0.09090909090909091</v>
      </c>
      <c r="E23" s="40"/>
      <c r="F23" s="575">
        <f>F15+F18+F21</f>
        <v>1530</v>
      </c>
      <c r="G23" s="529">
        <v>1570</v>
      </c>
      <c r="H23" s="529">
        <v>1688</v>
      </c>
      <c r="I23" s="324">
        <f>I15+I18+I21</f>
        <v>1698</v>
      </c>
      <c r="J23" s="400">
        <v>1683</v>
      </c>
      <c r="K23" s="400">
        <v>1676</v>
      </c>
      <c r="L23" s="400">
        <v>1689</v>
      </c>
      <c r="M23" s="463">
        <v>1657</v>
      </c>
      <c r="N23" s="265">
        <v>1590</v>
      </c>
      <c r="O23" s="463">
        <v>1575</v>
      </c>
      <c r="P23" s="463">
        <v>1562</v>
      </c>
      <c r="Q23" s="463">
        <v>1534</v>
      </c>
      <c r="R23" s="360"/>
      <c r="S23" s="399">
        <f>X23</f>
        <v>1530</v>
      </c>
      <c r="T23" s="358">
        <f>Y23</f>
        <v>1683</v>
      </c>
      <c r="U23" s="320">
        <f t="shared" si="1"/>
        <v>-153</v>
      </c>
      <c r="V23" s="29">
        <f t="shared" si="2"/>
        <v>-0.09090909090909091</v>
      </c>
      <c r="W23" s="358"/>
      <c r="X23" s="287">
        <f>F23</f>
        <v>1530</v>
      </c>
      <c r="Y23" s="265">
        <v>1683</v>
      </c>
      <c r="Z23" s="265">
        <v>1590</v>
      </c>
      <c r="AA23" s="246">
        <v>1488</v>
      </c>
      <c r="AB23" s="246">
        <v>1260</v>
      </c>
      <c r="AC23" s="246">
        <v>1156</v>
      </c>
      <c r="AD23" s="92"/>
      <c r="AI23" s="3"/>
    </row>
    <row r="24" spans="1:35" ht="12.75" customHeight="1">
      <c r="A24" s="229"/>
      <c r="B24" s="229"/>
      <c r="C24" s="323"/>
      <c r="D24" s="29"/>
      <c r="E24" s="40"/>
      <c r="F24" s="496"/>
      <c r="G24" s="40"/>
      <c r="H24" s="529"/>
      <c r="I24" s="324"/>
      <c r="J24" s="400"/>
      <c r="K24" s="400"/>
      <c r="L24" s="400"/>
      <c r="M24" s="463"/>
      <c r="N24" s="265"/>
      <c r="O24" s="463"/>
      <c r="P24" s="463"/>
      <c r="Q24" s="463"/>
      <c r="R24" s="360"/>
      <c r="S24" s="399"/>
      <c r="T24" s="358"/>
      <c r="U24" s="320"/>
      <c r="V24" s="29"/>
      <c r="W24" s="358"/>
      <c r="X24" s="287"/>
      <c r="Y24" s="265"/>
      <c r="Z24" s="265"/>
      <c r="AA24" s="246"/>
      <c r="AB24" s="246"/>
      <c r="AC24" s="246"/>
      <c r="AD24" s="92"/>
      <c r="AI24" s="3"/>
    </row>
    <row r="25" spans="1:35" ht="12.75" customHeight="1">
      <c r="A25" s="353" t="s">
        <v>258</v>
      </c>
      <c r="B25" s="229"/>
      <c r="C25" s="323">
        <f>F25-J25</f>
        <v>-16</v>
      </c>
      <c r="D25" s="29">
        <f>C25/J25</f>
        <v>-0.04519774011299435</v>
      </c>
      <c r="E25" s="40"/>
      <c r="F25" s="575">
        <v>338</v>
      </c>
      <c r="G25" s="529">
        <v>347</v>
      </c>
      <c r="H25" s="529">
        <v>341</v>
      </c>
      <c r="I25" s="324">
        <v>354</v>
      </c>
      <c r="J25" s="400">
        <v>354</v>
      </c>
      <c r="K25" s="400">
        <v>377</v>
      </c>
      <c r="L25" s="400">
        <v>378</v>
      </c>
      <c r="M25" s="463">
        <v>373</v>
      </c>
      <c r="N25" s="265">
        <v>368</v>
      </c>
      <c r="O25" s="463">
        <v>368</v>
      </c>
      <c r="P25" s="463">
        <v>371</v>
      </c>
      <c r="Q25" s="463">
        <v>373</v>
      </c>
      <c r="R25" s="360"/>
      <c r="S25" s="399">
        <f aca="true" t="shared" si="3" ref="S25:T27">X25</f>
        <v>338</v>
      </c>
      <c r="T25" s="358">
        <f t="shared" si="3"/>
        <v>354</v>
      </c>
      <c r="U25" s="320">
        <f t="shared" si="1"/>
        <v>-16</v>
      </c>
      <c r="V25" s="29">
        <f t="shared" si="2"/>
        <v>-0.04519774011299435</v>
      </c>
      <c r="W25" s="358"/>
      <c r="X25" s="287">
        <f>F25</f>
        <v>338</v>
      </c>
      <c r="Y25" s="265">
        <v>354</v>
      </c>
      <c r="Z25" s="265">
        <v>368</v>
      </c>
      <c r="AA25" s="246">
        <v>365</v>
      </c>
      <c r="AB25" s="246">
        <v>343</v>
      </c>
      <c r="AC25" s="246">
        <v>327</v>
      </c>
      <c r="AD25" s="92"/>
      <c r="AI25" s="3"/>
    </row>
    <row r="26" spans="1:35" ht="12.75" customHeight="1">
      <c r="A26" s="353" t="s">
        <v>227</v>
      </c>
      <c r="B26" s="229"/>
      <c r="C26" s="323">
        <f>F26-J26</f>
        <v>-62</v>
      </c>
      <c r="D26" s="29">
        <f>C26/J26</f>
        <v>-0.07276995305164319</v>
      </c>
      <c r="E26" s="40"/>
      <c r="F26" s="575">
        <v>790</v>
      </c>
      <c r="G26" s="529">
        <v>809</v>
      </c>
      <c r="H26" s="529">
        <v>818</v>
      </c>
      <c r="I26" s="324">
        <v>832</v>
      </c>
      <c r="J26" s="400">
        <v>852</v>
      </c>
      <c r="K26" s="400">
        <v>859</v>
      </c>
      <c r="L26" s="400">
        <v>865</v>
      </c>
      <c r="M26" s="463">
        <v>840</v>
      </c>
      <c r="N26" s="265">
        <v>817</v>
      </c>
      <c r="O26" s="463">
        <v>797</v>
      </c>
      <c r="P26" s="463">
        <v>790</v>
      </c>
      <c r="Q26" s="463">
        <v>775</v>
      </c>
      <c r="R26" s="360"/>
      <c r="S26" s="399">
        <f t="shared" si="3"/>
        <v>790</v>
      </c>
      <c r="T26" s="358">
        <f t="shared" si="3"/>
        <v>852</v>
      </c>
      <c r="U26" s="320">
        <f t="shared" si="1"/>
        <v>-62</v>
      </c>
      <c r="V26" s="29">
        <f t="shared" si="2"/>
        <v>-0.07276995305164319</v>
      </c>
      <c r="W26" s="358"/>
      <c r="X26" s="287">
        <f>F26</f>
        <v>790</v>
      </c>
      <c r="Y26" s="265">
        <v>852</v>
      </c>
      <c r="Z26" s="265">
        <v>817</v>
      </c>
      <c r="AA26" s="246">
        <v>763</v>
      </c>
      <c r="AB26" s="246">
        <v>710</v>
      </c>
      <c r="AC26" s="246">
        <v>675</v>
      </c>
      <c r="AD26" s="92"/>
      <c r="AI26" s="3"/>
    </row>
    <row r="27" spans="1:35" s="106" customFormat="1" ht="12.75" customHeight="1">
      <c r="A27" s="353" t="s">
        <v>182</v>
      </c>
      <c r="B27" s="229"/>
      <c r="C27" s="323">
        <f>F27-J27</f>
        <v>-7911</v>
      </c>
      <c r="D27" s="29">
        <f>C27/J27</f>
        <v>-0.04505895084581649</v>
      </c>
      <c r="E27" s="40"/>
      <c r="F27" s="575">
        <v>167659</v>
      </c>
      <c r="G27" s="529">
        <v>171199</v>
      </c>
      <c r="H27" s="529">
        <v>173949</v>
      </c>
      <c r="I27" s="324">
        <v>175976</v>
      </c>
      <c r="J27" s="400">
        <v>175570</v>
      </c>
      <c r="K27" s="400">
        <v>173599</v>
      </c>
      <c r="L27" s="400">
        <v>170879</v>
      </c>
      <c r="M27" s="463">
        <v>170054</v>
      </c>
      <c r="N27" s="265">
        <v>156003</v>
      </c>
      <c r="O27" s="463">
        <v>160793</v>
      </c>
      <c r="P27" s="463">
        <v>158866</v>
      </c>
      <c r="Q27" s="463">
        <v>156828</v>
      </c>
      <c r="R27" s="360"/>
      <c r="S27" s="399">
        <f t="shared" si="3"/>
        <v>167659</v>
      </c>
      <c r="T27" s="358">
        <f t="shared" si="3"/>
        <v>175570</v>
      </c>
      <c r="U27" s="320">
        <f t="shared" si="1"/>
        <v>-7911</v>
      </c>
      <c r="V27" s="29">
        <f t="shared" si="2"/>
        <v>-0.04505895084581649</v>
      </c>
      <c r="W27" s="358"/>
      <c r="X27" s="287">
        <f>F27</f>
        <v>167659</v>
      </c>
      <c r="Y27" s="265">
        <v>175570</v>
      </c>
      <c r="Z27" s="265">
        <v>156003</v>
      </c>
      <c r="AA27" s="246">
        <v>155404</v>
      </c>
      <c r="AB27" s="246">
        <v>144451</v>
      </c>
      <c r="AC27" s="246">
        <v>138142</v>
      </c>
      <c r="AD27" s="228"/>
      <c r="AI27" s="296"/>
    </row>
    <row r="28" spans="1:35" s="106" customFormat="1" ht="12.75" customHeight="1">
      <c r="A28" s="353"/>
      <c r="B28" s="229"/>
      <c r="C28" s="323"/>
      <c r="D28" s="29"/>
      <c r="E28" s="40"/>
      <c r="F28" s="496"/>
      <c r="G28" s="529"/>
      <c r="H28" s="529"/>
      <c r="I28" s="324"/>
      <c r="J28" s="400"/>
      <c r="K28" s="400"/>
      <c r="L28" s="400"/>
      <c r="M28" s="463"/>
      <c r="N28" s="265"/>
      <c r="O28" s="463"/>
      <c r="P28" s="463"/>
      <c r="Q28" s="463"/>
      <c r="R28" s="360"/>
      <c r="S28" s="399"/>
      <c r="T28" s="358"/>
      <c r="U28" s="320"/>
      <c r="V28" s="29"/>
      <c r="W28" s="358"/>
      <c r="X28" s="287"/>
      <c r="Y28" s="265"/>
      <c r="Z28" s="265"/>
      <c r="AA28" s="246"/>
      <c r="AB28" s="246"/>
      <c r="AC28" s="246"/>
      <c r="AD28" s="228"/>
      <c r="AI28" s="296"/>
    </row>
    <row r="29" spans="1:35" s="106" customFormat="1" ht="12.75" customHeight="1">
      <c r="A29" s="353" t="s">
        <v>228</v>
      </c>
      <c r="B29" s="229"/>
      <c r="C29" s="323">
        <f>F29-J29</f>
        <v>-337</v>
      </c>
      <c r="D29" s="29">
        <f>C29/J29</f>
        <v>-0.46164383561643835</v>
      </c>
      <c r="E29" s="34"/>
      <c r="F29" s="574">
        <v>393</v>
      </c>
      <c r="G29" s="464">
        <v>454</v>
      </c>
      <c r="H29" s="464">
        <v>609</v>
      </c>
      <c r="I29" s="324">
        <v>747</v>
      </c>
      <c r="J29" s="400">
        <v>730</v>
      </c>
      <c r="K29" s="400">
        <v>760</v>
      </c>
      <c r="L29" s="400">
        <v>777</v>
      </c>
      <c r="M29" s="463">
        <v>815</v>
      </c>
      <c r="N29" s="265">
        <v>807</v>
      </c>
      <c r="O29" s="463">
        <v>814</v>
      </c>
      <c r="P29" s="463">
        <v>745</v>
      </c>
      <c r="Q29" s="463">
        <v>712</v>
      </c>
      <c r="R29" s="571"/>
      <c r="S29" s="399">
        <f aca="true" t="shared" si="4" ref="S29:T31">X29</f>
        <v>393</v>
      </c>
      <c r="T29" s="358">
        <f t="shared" si="4"/>
        <v>730</v>
      </c>
      <c r="U29" s="320">
        <f t="shared" si="1"/>
        <v>-337</v>
      </c>
      <c r="V29" s="29">
        <f t="shared" si="2"/>
        <v>-0.46164383561643835</v>
      </c>
      <c r="W29" s="464"/>
      <c r="X29" s="287">
        <f>F29</f>
        <v>393</v>
      </c>
      <c r="Y29" s="265">
        <v>730</v>
      </c>
      <c r="Z29" s="265">
        <v>807</v>
      </c>
      <c r="AA29" s="246">
        <v>613</v>
      </c>
      <c r="AB29" s="246">
        <v>380</v>
      </c>
      <c r="AC29" s="246">
        <v>237</v>
      </c>
      <c r="AD29" s="228"/>
      <c r="AI29" s="296"/>
    </row>
    <row r="30" spans="1:35" s="106" customFormat="1" ht="12.75" customHeight="1">
      <c r="A30" s="353" t="s">
        <v>229</v>
      </c>
      <c r="B30" s="229"/>
      <c r="C30" s="323">
        <f>F30-J30</f>
        <v>-5111</v>
      </c>
      <c r="D30" s="29">
        <f>C30/J30</f>
        <v>-0.35753760055963624</v>
      </c>
      <c r="E30" s="34"/>
      <c r="F30" s="574">
        <v>9184</v>
      </c>
      <c r="G30" s="464">
        <v>9030</v>
      </c>
      <c r="H30" s="464">
        <v>11584</v>
      </c>
      <c r="I30" s="324">
        <v>14695</v>
      </c>
      <c r="J30" s="400">
        <v>14295</v>
      </c>
      <c r="K30" s="400">
        <v>14860</v>
      </c>
      <c r="L30" s="400">
        <v>15288</v>
      </c>
      <c r="M30" s="463">
        <v>15701</v>
      </c>
      <c r="N30" s="265">
        <v>15014</v>
      </c>
      <c r="O30" s="463">
        <v>14121</v>
      </c>
      <c r="P30" s="463">
        <v>13826</v>
      </c>
      <c r="Q30" s="463">
        <v>13942</v>
      </c>
      <c r="R30" s="571"/>
      <c r="S30" s="399">
        <f t="shared" si="4"/>
        <v>9184</v>
      </c>
      <c r="T30" s="358">
        <f t="shared" si="4"/>
        <v>14295</v>
      </c>
      <c r="U30" s="320">
        <f t="shared" si="1"/>
        <v>-5111</v>
      </c>
      <c r="V30" s="29">
        <f t="shared" si="2"/>
        <v>-0.35753760055963624</v>
      </c>
      <c r="W30" s="464"/>
      <c r="X30" s="287">
        <f>F30</f>
        <v>9184</v>
      </c>
      <c r="Y30" s="265">
        <v>14295</v>
      </c>
      <c r="Z30" s="265">
        <v>15014</v>
      </c>
      <c r="AA30" s="246">
        <v>14310</v>
      </c>
      <c r="AB30" s="246">
        <v>9967</v>
      </c>
      <c r="AC30" s="246">
        <v>8292</v>
      </c>
      <c r="AD30" s="228"/>
      <c r="AI30" s="296"/>
    </row>
    <row r="31" spans="1:35" s="106" customFormat="1" ht="12.75" customHeight="1">
      <c r="A31" s="353" t="s">
        <v>259</v>
      </c>
      <c r="B31" s="229"/>
      <c r="C31" s="323">
        <f>F31-J31</f>
        <v>-12.828402366863905</v>
      </c>
      <c r="D31" s="29">
        <f>C31/J31</f>
        <v>-0.3207100591715976</v>
      </c>
      <c r="E31" s="34"/>
      <c r="F31" s="574">
        <f>F30/F25</f>
        <v>27.171597633136095</v>
      </c>
      <c r="G31" s="464">
        <v>26.023054755043226</v>
      </c>
      <c r="H31" s="464">
        <v>33.97067448680352</v>
      </c>
      <c r="I31" s="324">
        <f>I30/I25</f>
        <v>41.51129943502825</v>
      </c>
      <c r="J31" s="400">
        <v>40</v>
      </c>
      <c r="K31" s="400">
        <v>39</v>
      </c>
      <c r="L31" s="400">
        <v>40</v>
      </c>
      <c r="M31" s="463">
        <v>42</v>
      </c>
      <c r="N31" s="265">
        <v>41</v>
      </c>
      <c r="O31" s="463">
        <v>38</v>
      </c>
      <c r="P31" s="463">
        <v>37</v>
      </c>
      <c r="Q31" s="463">
        <v>37</v>
      </c>
      <c r="R31" s="571"/>
      <c r="S31" s="399">
        <f t="shared" si="4"/>
        <v>27.171597633136095</v>
      </c>
      <c r="T31" s="358">
        <f t="shared" si="4"/>
        <v>40</v>
      </c>
      <c r="U31" s="320">
        <f t="shared" si="1"/>
        <v>-12.828402366863905</v>
      </c>
      <c r="V31" s="29">
        <f t="shared" si="2"/>
        <v>-0.3207100591715976</v>
      </c>
      <c r="W31" s="464"/>
      <c r="X31" s="287">
        <f>F31</f>
        <v>27.171597633136095</v>
      </c>
      <c r="Y31" s="265">
        <v>40</v>
      </c>
      <c r="Z31" s="265">
        <v>41</v>
      </c>
      <c r="AA31" s="246">
        <v>39</v>
      </c>
      <c r="AB31" s="246">
        <v>29</v>
      </c>
      <c r="AC31" s="246">
        <v>25</v>
      </c>
      <c r="AD31" s="228"/>
      <c r="AI31" s="296"/>
    </row>
    <row r="32" spans="1:35" s="106" customFormat="1" ht="12.75" customHeight="1">
      <c r="A32" s="353"/>
      <c r="B32" s="229"/>
      <c r="C32" s="323"/>
      <c r="D32" s="29"/>
      <c r="E32" s="34"/>
      <c r="F32" s="499"/>
      <c r="G32" s="464"/>
      <c r="H32" s="464"/>
      <c r="I32" s="500"/>
      <c r="J32" s="400"/>
      <c r="K32" s="400"/>
      <c r="L32" s="400"/>
      <c r="M32" s="463"/>
      <c r="N32" s="265"/>
      <c r="O32" s="463"/>
      <c r="P32" s="463"/>
      <c r="Q32" s="463"/>
      <c r="R32" s="571"/>
      <c r="S32" s="399"/>
      <c r="T32" s="358"/>
      <c r="U32" s="320"/>
      <c r="V32" s="29"/>
      <c r="W32" s="464"/>
      <c r="X32" s="287"/>
      <c r="Y32" s="265"/>
      <c r="Z32" s="265"/>
      <c r="AA32" s="246"/>
      <c r="AB32" s="246"/>
      <c r="AC32" s="246"/>
      <c r="AD32" s="228"/>
      <c r="AI32" s="296"/>
    </row>
    <row r="33" spans="1:35" s="106" customFormat="1" ht="25.5" customHeight="1">
      <c r="A33" s="645" t="s">
        <v>230</v>
      </c>
      <c r="B33" s="646"/>
      <c r="C33" s="323"/>
      <c r="D33" s="29"/>
      <c r="E33" s="34"/>
      <c r="F33" s="499"/>
      <c r="G33" s="464"/>
      <c r="H33" s="464"/>
      <c r="I33" s="500"/>
      <c r="J33" s="400"/>
      <c r="K33" s="400"/>
      <c r="L33" s="400"/>
      <c r="M33" s="463"/>
      <c r="N33" s="265"/>
      <c r="O33" s="463"/>
      <c r="P33" s="463"/>
      <c r="Q33" s="463"/>
      <c r="R33" s="571"/>
      <c r="S33" s="399"/>
      <c r="T33" s="358"/>
      <c r="U33" s="320"/>
      <c r="V33" s="29"/>
      <c r="W33" s="464"/>
      <c r="X33" s="287"/>
      <c r="Y33" s="265"/>
      <c r="Z33" s="265"/>
      <c r="AA33" s="246"/>
      <c r="AB33" s="246"/>
      <c r="AC33" s="246"/>
      <c r="AD33" s="228"/>
      <c r="AI33" s="296"/>
    </row>
    <row r="34" spans="1:35" s="106" customFormat="1" ht="12.75" customHeight="1">
      <c r="A34" s="353"/>
      <c r="B34" s="229" t="s">
        <v>231</v>
      </c>
      <c r="C34" s="323">
        <f>F34-J34</f>
        <v>4</v>
      </c>
      <c r="D34" s="29">
        <f>C34/J34</f>
        <v>0.8</v>
      </c>
      <c r="E34" s="34"/>
      <c r="F34" s="574">
        <v>9</v>
      </c>
      <c r="G34" s="464">
        <v>7</v>
      </c>
      <c r="H34" s="464">
        <v>5</v>
      </c>
      <c r="I34" s="463">
        <v>5</v>
      </c>
      <c r="J34" s="400">
        <v>5</v>
      </c>
      <c r="K34" s="400">
        <v>4</v>
      </c>
      <c r="L34" s="400">
        <v>4</v>
      </c>
      <c r="M34" s="463">
        <v>3</v>
      </c>
      <c r="N34" s="265">
        <v>1</v>
      </c>
      <c r="O34" s="463">
        <v>2</v>
      </c>
      <c r="P34" s="463">
        <v>2</v>
      </c>
      <c r="Q34" s="463">
        <v>1</v>
      </c>
      <c r="R34" s="571"/>
      <c r="S34" s="399">
        <f aca="true" t="shared" si="5" ref="S34:T36">X34</f>
        <v>9</v>
      </c>
      <c r="T34" s="358">
        <f t="shared" si="5"/>
        <v>5</v>
      </c>
      <c r="U34" s="320">
        <f t="shared" si="1"/>
        <v>4</v>
      </c>
      <c r="V34" s="29">
        <f t="shared" si="2"/>
        <v>0.8</v>
      </c>
      <c r="W34" s="464"/>
      <c r="X34" s="287">
        <f>F34</f>
        <v>9</v>
      </c>
      <c r="Y34" s="265">
        <v>5</v>
      </c>
      <c r="Z34" s="265">
        <v>1</v>
      </c>
      <c r="AA34" s="246">
        <v>1</v>
      </c>
      <c r="AB34" s="246">
        <v>6</v>
      </c>
      <c r="AC34" s="246">
        <v>5</v>
      </c>
      <c r="AD34" s="228"/>
      <c r="AI34" s="296"/>
    </row>
    <row r="35" spans="1:35" s="106" customFormat="1" ht="12.75" customHeight="1">
      <c r="A35" s="353"/>
      <c r="B35" s="229" t="s">
        <v>232</v>
      </c>
      <c r="C35" s="323">
        <f>F35-J35</f>
        <v>-9</v>
      </c>
      <c r="D35" s="29">
        <f>C35/J35</f>
        <v>-0.15</v>
      </c>
      <c r="E35" s="40"/>
      <c r="F35" s="575">
        <v>51</v>
      </c>
      <c r="G35" s="529">
        <v>55</v>
      </c>
      <c r="H35" s="529">
        <v>55</v>
      </c>
      <c r="I35" s="302">
        <v>58</v>
      </c>
      <c r="J35" s="400">
        <v>60</v>
      </c>
      <c r="K35" s="400">
        <v>60</v>
      </c>
      <c r="L35" s="400">
        <v>58</v>
      </c>
      <c r="M35" s="463">
        <v>57</v>
      </c>
      <c r="N35" s="265">
        <v>58</v>
      </c>
      <c r="O35" s="463">
        <v>60</v>
      </c>
      <c r="P35" s="463">
        <v>60</v>
      </c>
      <c r="Q35" s="463">
        <v>61</v>
      </c>
      <c r="R35" s="360"/>
      <c r="S35" s="399">
        <f t="shared" si="5"/>
        <v>51</v>
      </c>
      <c r="T35" s="358">
        <f t="shared" si="5"/>
        <v>60</v>
      </c>
      <c r="U35" s="320">
        <f t="shared" si="1"/>
        <v>-9</v>
      </c>
      <c r="V35" s="29">
        <f t="shared" si="2"/>
        <v>-0.15</v>
      </c>
      <c r="W35" s="358"/>
      <c r="X35" s="287">
        <f>F35</f>
        <v>51</v>
      </c>
      <c r="Y35" s="265">
        <v>60</v>
      </c>
      <c r="Z35" s="265">
        <v>58</v>
      </c>
      <c r="AA35" s="246">
        <v>53</v>
      </c>
      <c r="AB35" s="246">
        <v>51</v>
      </c>
      <c r="AC35" s="246">
        <v>31</v>
      </c>
      <c r="AD35" s="228"/>
      <c r="AI35" s="296"/>
    </row>
    <row r="36" spans="1:35" ht="12.75" customHeight="1">
      <c r="A36" s="353"/>
      <c r="B36" s="229" t="s">
        <v>233</v>
      </c>
      <c r="C36" s="323">
        <f>F36-J36</f>
        <v>-5</v>
      </c>
      <c r="D36" s="29">
        <f>C36/J36</f>
        <v>-0.07692307692307693</v>
      </c>
      <c r="E36" s="40"/>
      <c r="F36" s="503">
        <f>SUM(F34:F35)</f>
        <v>60</v>
      </c>
      <c r="G36" s="530">
        <v>62</v>
      </c>
      <c r="H36" s="530">
        <v>60</v>
      </c>
      <c r="I36" s="498">
        <f>SUM(I34:I35)</f>
        <v>63</v>
      </c>
      <c r="J36" s="400">
        <v>65</v>
      </c>
      <c r="K36" s="400">
        <v>64</v>
      </c>
      <c r="L36" s="400">
        <v>62</v>
      </c>
      <c r="M36" s="463">
        <v>60</v>
      </c>
      <c r="N36" s="265">
        <v>59</v>
      </c>
      <c r="O36" s="463">
        <v>62</v>
      </c>
      <c r="P36" s="463">
        <v>62</v>
      </c>
      <c r="Q36" s="463">
        <v>62</v>
      </c>
      <c r="R36" s="360"/>
      <c r="S36" s="399">
        <f t="shared" si="5"/>
        <v>60</v>
      </c>
      <c r="T36" s="358">
        <f t="shared" si="5"/>
        <v>65</v>
      </c>
      <c r="U36" s="320">
        <f t="shared" si="1"/>
        <v>-5</v>
      </c>
      <c r="V36" s="29">
        <f t="shared" si="2"/>
        <v>-0.07692307692307693</v>
      </c>
      <c r="W36" s="358"/>
      <c r="X36" s="287">
        <f>F36</f>
        <v>60</v>
      </c>
      <c r="Y36" s="265">
        <v>65</v>
      </c>
      <c r="Z36" s="265">
        <v>59</v>
      </c>
      <c r="AA36" s="246">
        <v>54</v>
      </c>
      <c r="AB36" s="246">
        <v>57</v>
      </c>
      <c r="AC36" s="246">
        <v>36</v>
      </c>
      <c r="AD36" s="92"/>
      <c r="AI36" s="3"/>
    </row>
    <row r="37" spans="1:30" ht="12.75" customHeight="1">
      <c r="A37" s="353"/>
      <c r="B37" s="229"/>
      <c r="C37" s="323"/>
      <c r="D37" s="29"/>
      <c r="E37" s="341"/>
      <c r="F37" s="576"/>
      <c r="G37" s="531"/>
      <c r="H37" s="531"/>
      <c r="I37" s="498"/>
      <c r="J37" s="400"/>
      <c r="K37" s="400"/>
      <c r="L37" s="400"/>
      <c r="M37" s="463"/>
      <c r="N37" s="265"/>
      <c r="O37" s="463"/>
      <c r="P37" s="463"/>
      <c r="Q37" s="463" t="s">
        <v>56</v>
      </c>
      <c r="R37" s="360"/>
      <c r="S37" s="399"/>
      <c r="T37" s="358"/>
      <c r="U37" s="320"/>
      <c r="V37" s="29"/>
      <c r="W37" s="358"/>
      <c r="X37" s="287"/>
      <c r="Y37" s="265"/>
      <c r="Z37" s="265"/>
      <c r="AA37" s="246"/>
      <c r="AB37" s="246"/>
      <c r="AC37" s="246"/>
      <c r="AD37" s="92"/>
    </row>
    <row r="38" spans="1:30" ht="41.25" customHeight="1">
      <c r="A38" s="645" t="s">
        <v>260</v>
      </c>
      <c r="B38" s="646"/>
      <c r="C38" s="323"/>
      <c r="D38" s="29"/>
      <c r="E38" s="329"/>
      <c r="F38" s="399"/>
      <c r="G38" s="358"/>
      <c r="H38" s="358"/>
      <c r="I38" s="498"/>
      <c r="J38" s="400"/>
      <c r="K38" s="400"/>
      <c r="L38" s="400"/>
      <c r="M38" s="463"/>
      <c r="N38" s="265"/>
      <c r="O38" s="463"/>
      <c r="P38" s="463"/>
      <c r="Q38" s="463"/>
      <c r="R38" s="360"/>
      <c r="S38" s="399"/>
      <c r="T38" s="358"/>
      <c r="U38" s="320"/>
      <c r="V38" s="29"/>
      <c r="W38" s="358"/>
      <c r="X38" s="287"/>
      <c r="Y38" s="265"/>
      <c r="Z38" s="265"/>
      <c r="AA38" s="246"/>
      <c r="AB38" s="246"/>
      <c r="AC38" s="246"/>
      <c r="AD38" s="92"/>
    </row>
    <row r="39" spans="1:30" ht="12.75">
      <c r="A39" s="353"/>
      <c r="B39" s="229" t="s">
        <v>234</v>
      </c>
      <c r="C39" s="323">
        <f>F39-J39</f>
        <v>-1</v>
      </c>
      <c r="D39" s="29">
        <f>C39/J39</f>
        <v>-1</v>
      </c>
      <c r="E39" s="233"/>
      <c r="F39" s="317">
        <v>0</v>
      </c>
      <c r="G39" s="400">
        <v>0</v>
      </c>
      <c r="H39" s="400">
        <v>0</v>
      </c>
      <c r="I39" s="501">
        <v>0</v>
      </c>
      <c r="J39" s="400">
        <v>1</v>
      </c>
      <c r="K39" s="400">
        <v>1</v>
      </c>
      <c r="L39" s="400">
        <v>0</v>
      </c>
      <c r="M39" s="463">
        <v>1</v>
      </c>
      <c r="N39" s="246">
        <v>0</v>
      </c>
      <c r="O39" s="463">
        <v>1</v>
      </c>
      <c r="P39" s="463">
        <v>1</v>
      </c>
      <c r="Q39" s="463">
        <v>1</v>
      </c>
      <c r="R39" s="265"/>
      <c r="S39" s="399">
        <f aca="true" t="shared" si="6" ref="S39:T41">X39</f>
        <v>0</v>
      </c>
      <c r="T39" s="358">
        <f t="shared" si="6"/>
        <v>1</v>
      </c>
      <c r="U39" s="320">
        <f t="shared" si="1"/>
        <v>-1</v>
      </c>
      <c r="V39" s="29" t="s">
        <v>54</v>
      </c>
      <c r="W39" s="400"/>
      <c r="X39" s="287">
        <f>F39</f>
        <v>0</v>
      </c>
      <c r="Y39" s="265">
        <v>1</v>
      </c>
      <c r="Z39" s="246">
        <v>0</v>
      </c>
      <c r="AA39" s="246">
        <v>1</v>
      </c>
      <c r="AB39" s="246">
        <v>4</v>
      </c>
      <c r="AC39" s="246">
        <v>3</v>
      </c>
      <c r="AD39" s="92"/>
    </row>
    <row r="40" spans="1:30" ht="12.75">
      <c r="A40" s="353"/>
      <c r="B40" s="229" t="s">
        <v>235</v>
      </c>
      <c r="C40" s="323">
        <f>F40-J40</f>
        <v>-9</v>
      </c>
      <c r="D40" s="29">
        <f>C40/J40</f>
        <v>-0.17647058823529413</v>
      </c>
      <c r="E40" s="233"/>
      <c r="F40" s="317">
        <v>42</v>
      </c>
      <c r="G40" s="400">
        <v>46</v>
      </c>
      <c r="H40" s="400">
        <v>45</v>
      </c>
      <c r="I40" s="463">
        <v>48</v>
      </c>
      <c r="J40" s="400">
        <v>51</v>
      </c>
      <c r="K40" s="400">
        <v>50</v>
      </c>
      <c r="L40" s="400">
        <v>51</v>
      </c>
      <c r="M40" s="463">
        <v>49</v>
      </c>
      <c r="N40" s="265">
        <v>50</v>
      </c>
      <c r="O40" s="463">
        <v>51</v>
      </c>
      <c r="P40" s="463">
        <v>52</v>
      </c>
      <c r="Q40" s="463">
        <v>55</v>
      </c>
      <c r="R40" s="265"/>
      <c r="S40" s="399">
        <f t="shared" si="6"/>
        <v>42</v>
      </c>
      <c r="T40" s="358">
        <f t="shared" si="6"/>
        <v>51</v>
      </c>
      <c r="U40" s="320">
        <f t="shared" si="1"/>
        <v>-9</v>
      </c>
      <c r="V40" s="29">
        <f t="shared" si="2"/>
        <v>-0.17647058823529413</v>
      </c>
      <c r="W40" s="266"/>
      <c r="X40" s="287">
        <f>F40</f>
        <v>42</v>
      </c>
      <c r="Y40" s="265">
        <v>51</v>
      </c>
      <c r="Z40" s="265">
        <v>50</v>
      </c>
      <c r="AA40" s="246">
        <v>49</v>
      </c>
      <c r="AB40" s="246">
        <v>47</v>
      </c>
      <c r="AC40" s="246">
        <v>24</v>
      </c>
      <c r="AD40" s="92"/>
    </row>
    <row r="41" spans="1:30" ht="12.75">
      <c r="A41" s="229"/>
      <c r="B41" s="229" t="s">
        <v>236</v>
      </c>
      <c r="C41" s="323">
        <f>F41-J41</f>
        <v>-10</v>
      </c>
      <c r="D41" s="29">
        <f>C41/J41</f>
        <v>-0.19230769230769232</v>
      </c>
      <c r="E41" s="233"/>
      <c r="F41" s="317">
        <f>F39+F40</f>
        <v>42</v>
      </c>
      <c r="G41" s="400">
        <v>46</v>
      </c>
      <c r="H41" s="400">
        <v>45</v>
      </c>
      <c r="I41" s="463">
        <f>I39+I40</f>
        <v>48</v>
      </c>
      <c r="J41" s="400">
        <v>52</v>
      </c>
      <c r="K41" s="400">
        <v>51</v>
      </c>
      <c r="L41" s="400">
        <v>51</v>
      </c>
      <c r="M41" s="463">
        <v>50</v>
      </c>
      <c r="N41" s="265">
        <v>50</v>
      </c>
      <c r="O41" s="463">
        <v>52</v>
      </c>
      <c r="P41" s="463">
        <v>53</v>
      </c>
      <c r="Q41" s="463">
        <v>56</v>
      </c>
      <c r="R41" s="265"/>
      <c r="S41" s="399">
        <f t="shared" si="6"/>
        <v>42</v>
      </c>
      <c r="T41" s="358">
        <f t="shared" si="6"/>
        <v>52</v>
      </c>
      <c r="U41" s="320">
        <f t="shared" si="1"/>
        <v>-10</v>
      </c>
      <c r="V41" s="29">
        <f t="shared" si="2"/>
        <v>-0.19230769230769232</v>
      </c>
      <c r="W41" s="266"/>
      <c r="X41" s="287">
        <f>F41</f>
        <v>42</v>
      </c>
      <c r="Y41" s="265">
        <v>52</v>
      </c>
      <c r="Z41" s="265">
        <v>50</v>
      </c>
      <c r="AA41" s="246">
        <v>50</v>
      </c>
      <c r="AB41" s="246">
        <v>51</v>
      </c>
      <c r="AC41" s="246">
        <v>27</v>
      </c>
      <c r="AD41" s="92"/>
    </row>
    <row r="42" spans="1:30" ht="12.75">
      <c r="A42" s="115"/>
      <c r="B42" s="115"/>
      <c r="C42" s="397"/>
      <c r="D42" s="462"/>
      <c r="E42" s="233"/>
      <c r="F42" s="397"/>
      <c r="G42" s="532"/>
      <c r="H42" s="532"/>
      <c r="I42" s="465"/>
      <c r="J42" s="412"/>
      <c r="K42" s="412"/>
      <c r="L42" s="412"/>
      <c r="M42" s="465"/>
      <c r="N42" s="284"/>
      <c r="O42" s="465"/>
      <c r="P42" s="465"/>
      <c r="Q42" s="466"/>
      <c r="R42" s="265"/>
      <c r="S42" s="315"/>
      <c r="T42" s="412"/>
      <c r="U42" s="412"/>
      <c r="V42" s="502"/>
      <c r="W42" s="266"/>
      <c r="X42" s="284"/>
      <c r="Y42" s="467"/>
      <c r="Z42" s="284"/>
      <c r="AA42" s="467"/>
      <c r="AB42" s="467"/>
      <c r="AC42" s="467"/>
      <c r="AD42" s="92"/>
    </row>
    <row r="43" spans="1:26" ht="12.75">
      <c r="A43" s="115"/>
      <c r="B43" s="115"/>
      <c r="C43" s="3"/>
      <c r="D43" s="3"/>
      <c r="I43" s="3"/>
      <c r="J43" s="3"/>
      <c r="K43" s="3"/>
      <c r="L43" s="3"/>
      <c r="M43" s="3"/>
      <c r="N43" s="3"/>
      <c r="O43" s="3"/>
      <c r="P43" s="3"/>
      <c r="Q43" s="11"/>
      <c r="R43" s="3"/>
      <c r="S43" s="3"/>
      <c r="T43" s="3"/>
      <c r="U43" s="3"/>
      <c r="V43" s="3"/>
      <c r="X43" s="3"/>
      <c r="Y43" s="31"/>
      <c r="Z43" s="3"/>
    </row>
    <row r="44" spans="1:26" ht="12.75">
      <c r="A44" s="354" t="s">
        <v>41</v>
      </c>
      <c r="B44" s="355"/>
      <c r="Q44" s="32"/>
      <c r="R44" s="3"/>
      <c r="S44" s="3"/>
      <c r="T44" s="3"/>
      <c r="Y44" s="2"/>
      <c r="Z44" s="2"/>
    </row>
    <row r="45" spans="17:26" ht="12.75">
      <c r="Q45" s="237"/>
      <c r="R45" s="3"/>
      <c r="S45" s="3"/>
      <c r="T45" s="3"/>
      <c r="Y45" s="2"/>
      <c r="Z45" s="2"/>
    </row>
    <row r="46" spans="3:26" ht="12.75">
      <c r="C46" s="396"/>
      <c r="D46" s="396"/>
      <c r="E46" s="396"/>
      <c r="F46" s="396"/>
      <c r="G46" s="396"/>
      <c r="H46" s="396"/>
      <c r="I46" s="396"/>
      <c r="J46" s="396"/>
      <c r="K46" s="396"/>
      <c r="L46" s="396"/>
      <c r="Q46" s="2"/>
      <c r="R46" s="3"/>
      <c r="S46" s="3"/>
      <c r="T46" s="3"/>
      <c r="Y46" s="50"/>
      <c r="Z46" s="50"/>
    </row>
    <row r="47" spans="9:26" ht="12.75">
      <c r="I47" s="3"/>
      <c r="J47" s="3"/>
      <c r="N47" s="3"/>
      <c r="Q47" s="1"/>
      <c r="R47" s="3"/>
      <c r="S47" s="3"/>
      <c r="T47" s="3"/>
      <c r="Y47" s="50"/>
      <c r="Z47" s="50"/>
    </row>
    <row r="48" spans="17:26" ht="12.75">
      <c r="Q48" s="31"/>
      <c r="R48" s="3"/>
      <c r="S48" s="3"/>
      <c r="T48" s="3"/>
      <c r="Y48" s="51"/>
      <c r="Z48" s="51"/>
    </row>
    <row r="49" spans="8:26" ht="12.75">
      <c r="H49" s="520"/>
      <c r="Q49" s="46"/>
      <c r="R49" s="3"/>
      <c r="S49" s="3"/>
      <c r="T49" s="3"/>
      <c r="Y49" s="52"/>
      <c r="Z49" s="52"/>
    </row>
    <row r="50" spans="17:26" ht="12.75">
      <c r="Q50" s="46"/>
      <c r="R50" s="3"/>
      <c r="S50" s="3"/>
      <c r="T50" s="3"/>
      <c r="Y50" s="34"/>
      <c r="Z50" s="34"/>
    </row>
    <row r="51" spans="17:26" ht="12.75">
      <c r="Q51" s="40"/>
      <c r="R51" s="3"/>
      <c r="S51" s="3"/>
      <c r="T51" s="3"/>
      <c r="Y51" s="34"/>
      <c r="Z51" s="34"/>
    </row>
    <row r="52" spans="17:26" ht="12.75">
      <c r="Q52" s="34"/>
      <c r="R52" s="3"/>
      <c r="S52" s="3"/>
      <c r="T52" s="3"/>
      <c r="Y52" s="35"/>
      <c r="Z52" s="35"/>
    </row>
    <row r="53" spans="17:26" ht="12.75">
      <c r="Q53" s="35"/>
      <c r="R53" s="3"/>
      <c r="S53" s="3"/>
      <c r="T53" s="3"/>
      <c r="Y53" s="35"/>
      <c r="Z53" s="35"/>
    </row>
    <row r="54" spans="17:26" ht="12.75">
      <c r="Q54" s="35"/>
      <c r="R54" s="3"/>
      <c r="S54" s="3"/>
      <c r="T54" s="3"/>
      <c r="Y54" s="3"/>
      <c r="Z54" s="3"/>
    </row>
    <row r="55" spans="17:26" ht="12.75">
      <c r="Q55" s="3"/>
      <c r="R55" s="3"/>
      <c r="S55" s="3"/>
      <c r="T55" s="3"/>
      <c r="Y55" s="3"/>
      <c r="Z55" s="3"/>
    </row>
    <row r="56" spans="17:26" ht="12.75">
      <c r="Q56" s="3"/>
      <c r="R56" s="3"/>
      <c r="S56" s="3"/>
      <c r="T56" s="3"/>
      <c r="Y56" s="3"/>
      <c r="Z56" s="3"/>
    </row>
    <row r="57" spans="17:26" ht="12.75">
      <c r="Q57" s="3"/>
      <c r="R57" s="3"/>
      <c r="S57" s="3"/>
      <c r="T57" s="3"/>
      <c r="Y57" s="3"/>
      <c r="Z57" s="3"/>
    </row>
    <row r="58" spans="17:26" ht="12.75">
      <c r="Q58" s="3"/>
      <c r="R58" s="3"/>
      <c r="S58" s="3"/>
      <c r="T58" s="3"/>
      <c r="Y58" s="3"/>
      <c r="Z58" s="3"/>
    </row>
    <row r="59" spans="17:20" ht="12.75">
      <c r="Q59" s="3"/>
      <c r="R59" s="3"/>
      <c r="S59" s="3"/>
      <c r="T59" s="3"/>
    </row>
  </sheetData>
  <mergeCells count="6">
    <mergeCell ref="U9:V9"/>
    <mergeCell ref="A33:B33"/>
    <mergeCell ref="A38:B38"/>
    <mergeCell ref="C8:D8"/>
    <mergeCell ref="C9:D9"/>
    <mergeCell ref="S8:V8"/>
  </mergeCells>
  <conditionalFormatting sqref="A36:B36 A29:A30 W29:W34 I32:I33 R29:R34 E29:H34">
    <cfRule type="cellIs" priority="1" dxfId="0" operator="equal" stopIfTrue="1">
      <formula>0</formula>
    </cfRule>
  </conditionalFormatting>
  <printOptions/>
  <pageMargins left="0.28" right="0.18" top="0.41" bottom="0.59" header="0.38" footer="0.36"/>
  <pageSetup horizontalDpi="600" verticalDpi="600" orientation="landscape" scale="55" r:id="rId2"/>
  <headerFooter alignWithMargins="0">
    <oddFooter>&amp;LCCI Supplementary Fiscal Q4/09 - May 20, 2009&amp;CPage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AI88"/>
  <sheetViews>
    <sheetView zoomScale="70" zoomScaleNormal="70" workbookViewId="0" topLeftCell="A15">
      <selection activeCell="B36" sqref="B36:L37"/>
    </sheetView>
  </sheetViews>
  <sheetFormatPr defaultColWidth="9.140625" defaultRowHeight="12.75" outlineLevelRow="1"/>
  <cols>
    <col min="1" max="1" width="2.7109375" style="143" customWidth="1"/>
    <col min="2" max="2" width="1.7109375" style="143" customWidth="1"/>
    <col min="3" max="3" width="24.7109375" style="143" customWidth="1"/>
    <col min="4" max="6" width="11.7109375" style="143" customWidth="1"/>
    <col min="7" max="7" width="20.57421875" style="143" bestFit="1" customWidth="1"/>
    <col min="8" max="8" width="14.8515625" style="143" customWidth="1"/>
    <col min="9" max="9" width="10.7109375" style="143" customWidth="1"/>
    <col min="10" max="10" width="15.28125" style="143" bestFit="1" customWidth="1"/>
    <col min="11" max="11" width="1.7109375" style="143" customWidth="1"/>
    <col min="12" max="12" width="1.57421875" style="143" customWidth="1"/>
    <col min="13" max="13" width="24.00390625" style="143" customWidth="1"/>
    <col min="14" max="16" width="11.7109375" style="143" customWidth="1"/>
    <col min="17" max="17" width="20.57421875" style="143" bestFit="1" customWidth="1"/>
    <col min="18" max="18" width="14.8515625" style="143" customWidth="1"/>
    <col min="19" max="19" width="10.8515625" style="143" customWidth="1"/>
    <col min="20" max="20" width="12.57421875" style="145" customWidth="1"/>
    <col min="21" max="21" width="1.7109375" style="143" customWidth="1"/>
    <col min="22" max="22" width="2.7109375" style="143" customWidth="1"/>
    <col min="23" max="16384" width="9.140625" style="143" customWidth="1"/>
  </cols>
  <sheetData>
    <row r="1" ht="12.75"/>
    <row r="2" ht="20.25">
      <c r="D2" s="144"/>
    </row>
    <row r="3" ht="12.75"/>
    <row r="4" ht="12.75"/>
    <row r="5" spans="2:21" ht="29.25">
      <c r="B5" s="152" t="s">
        <v>261</v>
      </c>
      <c r="C5" s="153"/>
      <c r="G5" s="154"/>
      <c r="L5" s="155"/>
      <c r="M5" s="155"/>
      <c r="U5" s="155"/>
    </row>
    <row r="6" spans="2:21" ht="15" customHeight="1">
      <c r="B6" s="152"/>
      <c r="C6" s="153"/>
      <c r="G6" s="154"/>
      <c r="L6" s="155"/>
      <c r="M6" s="155"/>
      <c r="U6" s="155"/>
    </row>
    <row r="7" spans="2:21" ht="15" customHeight="1">
      <c r="B7" s="152"/>
      <c r="C7" s="153"/>
      <c r="G7" s="154"/>
      <c r="L7" s="155"/>
      <c r="M7" s="155"/>
      <c r="U7" s="155"/>
    </row>
    <row r="8" spans="2:21" ht="15" customHeight="1" hidden="1">
      <c r="B8" s="504"/>
      <c r="C8" s="153"/>
      <c r="D8" s="156"/>
      <c r="E8" s="156"/>
      <c r="F8" s="156"/>
      <c r="G8" s="154"/>
      <c r="H8" s="156"/>
      <c r="I8" s="156"/>
      <c r="J8" s="156"/>
      <c r="L8" s="155"/>
      <c r="M8" s="155"/>
      <c r="U8" s="155"/>
    </row>
    <row r="9" spans="2:21" ht="15" customHeight="1" hidden="1">
      <c r="B9" s="504"/>
      <c r="C9" s="153"/>
      <c r="D9" s="156"/>
      <c r="E9" s="156"/>
      <c r="F9" s="156"/>
      <c r="G9" s="154"/>
      <c r="H9" s="156"/>
      <c r="I9" s="156"/>
      <c r="J9" s="156"/>
      <c r="L9" s="155"/>
      <c r="M9" s="155"/>
      <c r="U9" s="155"/>
    </row>
    <row r="10" spans="2:21" ht="15" customHeight="1" hidden="1">
      <c r="B10" s="504"/>
      <c r="C10" s="183"/>
      <c r="D10" s="156"/>
      <c r="E10" s="156"/>
      <c r="F10" s="156"/>
      <c r="G10" s="154"/>
      <c r="H10" s="156"/>
      <c r="I10" s="156"/>
      <c r="J10" s="156"/>
      <c r="L10" s="155"/>
      <c r="M10" s="155"/>
      <c r="U10" s="155"/>
    </row>
    <row r="11" spans="2:21" ht="15" customHeight="1" hidden="1">
      <c r="B11" s="504"/>
      <c r="C11" s="153"/>
      <c r="D11" s="156"/>
      <c r="E11" s="156"/>
      <c r="F11" s="156"/>
      <c r="G11" s="154"/>
      <c r="H11" s="156"/>
      <c r="I11" s="156"/>
      <c r="J11" s="156"/>
      <c r="L11" s="155"/>
      <c r="M11" s="155"/>
      <c r="U11" s="155"/>
    </row>
    <row r="12" spans="2:21" ht="15" customHeight="1" hidden="1">
      <c r="B12" s="504"/>
      <c r="C12" s="153"/>
      <c r="D12" s="156"/>
      <c r="E12" s="156"/>
      <c r="F12" s="156"/>
      <c r="G12" s="154"/>
      <c r="H12" s="156"/>
      <c r="I12" s="156"/>
      <c r="J12" s="156"/>
      <c r="L12" s="155"/>
      <c r="M12" s="155"/>
      <c r="U12" s="155"/>
    </row>
    <row r="13" spans="2:21" ht="15" customHeight="1" hidden="1">
      <c r="B13" s="504"/>
      <c r="C13" s="153"/>
      <c r="D13" s="156"/>
      <c r="E13" s="156"/>
      <c r="F13" s="156"/>
      <c r="G13" s="154"/>
      <c r="H13" s="156"/>
      <c r="I13" s="156"/>
      <c r="J13" s="156"/>
      <c r="L13" s="155"/>
      <c r="M13" s="155"/>
      <c r="U13" s="155"/>
    </row>
    <row r="14" spans="2:21" ht="15" customHeight="1" hidden="1">
      <c r="B14" s="504"/>
      <c r="C14" s="153"/>
      <c r="D14" s="156"/>
      <c r="E14" s="156"/>
      <c r="F14" s="156"/>
      <c r="G14" s="154"/>
      <c r="H14" s="156"/>
      <c r="I14" s="156"/>
      <c r="J14" s="156"/>
      <c r="L14" s="155"/>
      <c r="M14" s="155"/>
      <c r="U14" s="155"/>
    </row>
    <row r="15" spans="2:21" ht="15" customHeight="1">
      <c r="B15" s="504"/>
      <c r="C15" s="153"/>
      <c r="D15" s="156"/>
      <c r="E15" s="156"/>
      <c r="F15" s="156"/>
      <c r="G15" s="154"/>
      <c r="H15" s="156"/>
      <c r="I15" s="156"/>
      <c r="J15" s="156"/>
      <c r="L15" s="155"/>
      <c r="M15" s="155"/>
      <c r="U15" s="155"/>
    </row>
    <row r="16" spans="2:21" ht="15" customHeight="1">
      <c r="B16" s="504"/>
      <c r="C16" s="153"/>
      <c r="D16" s="156"/>
      <c r="E16" s="156"/>
      <c r="F16" s="156"/>
      <c r="G16" s="154"/>
      <c r="H16" s="156"/>
      <c r="I16" s="156"/>
      <c r="J16" s="156"/>
      <c r="L16" s="155"/>
      <c r="M16" s="155"/>
      <c r="U16" s="155"/>
    </row>
    <row r="17" spans="2:21" ht="15" customHeight="1">
      <c r="B17" s="504"/>
      <c r="C17" s="153"/>
      <c r="D17" s="156"/>
      <c r="E17" s="156"/>
      <c r="F17" s="156"/>
      <c r="G17" s="154"/>
      <c r="H17" s="156"/>
      <c r="I17" s="156"/>
      <c r="J17" s="156"/>
      <c r="L17" s="155"/>
      <c r="M17" s="155"/>
      <c r="U17" s="155"/>
    </row>
    <row r="18" spans="2:10" ht="12.75">
      <c r="B18" s="156"/>
      <c r="C18" s="505"/>
      <c r="D18" s="156"/>
      <c r="E18" s="156"/>
      <c r="F18" s="156"/>
      <c r="G18" s="156"/>
      <c r="H18" s="156"/>
      <c r="I18" s="156"/>
      <c r="J18" s="156"/>
    </row>
    <row r="19" spans="2:21" ht="18">
      <c r="B19" s="506" t="s">
        <v>287</v>
      </c>
      <c r="C19" s="507"/>
      <c r="D19" s="141"/>
      <c r="E19" s="141"/>
      <c r="F19" s="141"/>
      <c r="G19" s="141"/>
      <c r="H19" s="141"/>
      <c r="I19" s="141"/>
      <c r="J19" s="141"/>
      <c r="K19" s="126"/>
      <c r="L19" s="126"/>
      <c r="M19" s="126"/>
      <c r="N19" s="126"/>
      <c r="O19" s="126"/>
      <c r="P19" s="126"/>
      <c r="R19" s="141"/>
      <c r="S19" s="126"/>
      <c r="T19" s="157"/>
      <c r="U19" s="126"/>
    </row>
    <row r="20" spans="2:21" ht="8.25" customHeight="1">
      <c r="B20" s="141"/>
      <c r="C20" s="507"/>
      <c r="D20" s="141"/>
      <c r="E20" s="141"/>
      <c r="F20" s="141"/>
      <c r="G20" s="141"/>
      <c r="H20" s="141"/>
      <c r="I20" s="141"/>
      <c r="J20" s="141"/>
      <c r="K20" s="126"/>
      <c r="L20" s="126"/>
      <c r="M20" s="126"/>
      <c r="N20" s="126"/>
      <c r="O20" s="126"/>
      <c r="P20" s="126"/>
      <c r="R20" s="141"/>
      <c r="S20" s="126"/>
      <c r="T20" s="157"/>
      <c r="U20" s="126"/>
    </row>
    <row r="21" spans="2:21" ht="15">
      <c r="B21" s="158"/>
      <c r="C21" s="159" t="s">
        <v>297</v>
      </c>
      <c r="D21" s="160"/>
      <c r="E21" s="160"/>
      <c r="F21" s="160"/>
      <c r="G21" s="160"/>
      <c r="H21" s="160"/>
      <c r="I21" s="160"/>
      <c r="J21" s="161"/>
      <c r="K21" s="162"/>
      <c r="L21" s="158"/>
      <c r="M21" s="159" t="s">
        <v>298</v>
      </c>
      <c r="N21" s="160"/>
      <c r="O21" s="160"/>
      <c r="P21" s="161"/>
      <c r="Q21" s="160"/>
      <c r="R21" s="160"/>
      <c r="S21" s="160"/>
      <c r="T21" s="163"/>
      <c r="U21" s="130"/>
    </row>
    <row r="22" spans="2:21" ht="15">
      <c r="B22" s="164"/>
      <c r="C22" s="165"/>
      <c r="D22" s="166"/>
      <c r="E22" s="166"/>
      <c r="F22" s="166"/>
      <c r="G22" s="166"/>
      <c r="H22" s="166"/>
      <c r="I22" s="166"/>
      <c r="J22" s="167"/>
      <c r="K22" s="168"/>
      <c r="L22" s="164"/>
      <c r="M22" s="165"/>
      <c r="N22" s="166"/>
      <c r="O22" s="166"/>
      <c r="P22" s="167"/>
      <c r="Q22" s="166"/>
      <c r="R22" s="166"/>
      <c r="S22" s="166"/>
      <c r="T22" s="169"/>
      <c r="U22" s="132"/>
    </row>
    <row r="23" spans="2:21" ht="15">
      <c r="B23" s="164"/>
      <c r="C23" s="165"/>
      <c r="D23" s="166"/>
      <c r="E23" s="166"/>
      <c r="F23" s="166"/>
      <c r="G23" s="166"/>
      <c r="H23" s="166"/>
      <c r="I23" s="166"/>
      <c r="J23" s="167"/>
      <c r="K23" s="168"/>
      <c r="L23" s="164"/>
      <c r="M23" s="165"/>
      <c r="N23" s="166"/>
      <c r="O23" s="166"/>
      <c r="P23" s="167"/>
      <c r="Q23" s="166"/>
      <c r="R23" s="166"/>
      <c r="S23" s="166"/>
      <c r="T23" s="169"/>
      <c r="U23" s="132"/>
    </row>
    <row r="24" spans="2:21" ht="15">
      <c r="B24" s="164"/>
      <c r="C24" s="166"/>
      <c r="D24" s="170"/>
      <c r="E24" s="170"/>
      <c r="F24" s="170"/>
      <c r="G24" s="171" t="s">
        <v>115</v>
      </c>
      <c r="H24" s="170"/>
      <c r="I24" s="170"/>
      <c r="J24" s="172" t="s">
        <v>116</v>
      </c>
      <c r="K24" s="168"/>
      <c r="L24" s="164"/>
      <c r="M24" s="166"/>
      <c r="N24" s="170"/>
      <c r="O24" s="170"/>
      <c r="P24" s="170"/>
      <c r="Q24" s="171" t="s">
        <v>115</v>
      </c>
      <c r="R24" s="170"/>
      <c r="S24" s="170"/>
      <c r="T24" s="172" t="s">
        <v>116</v>
      </c>
      <c r="U24" s="133"/>
    </row>
    <row r="25" spans="2:21" ht="15">
      <c r="B25" s="164"/>
      <c r="C25" s="173"/>
      <c r="D25" s="171" t="s">
        <v>117</v>
      </c>
      <c r="E25" s="171" t="s">
        <v>118</v>
      </c>
      <c r="F25" s="171" t="s">
        <v>119</v>
      </c>
      <c r="G25" s="171" t="s">
        <v>120</v>
      </c>
      <c r="H25" s="171" t="s">
        <v>121</v>
      </c>
      <c r="I25" s="171" t="s">
        <v>119</v>
      </c>
      <c r="J25" s="172" t="s">
        <v>122</v>
      </c>
      <c r="K25" s="168"/>
      <c r="L25" s="164"/>
      <c r="M25" s="173"/>
      <c r="N25" s="171" t="s">
        <v>117</v>
      </c>
      <c r="O25" s="171" t="s">
        <v>118</v>
      </c>
      <c r="P25" s="171" t="s">
        <v>119</v>
      </c>
      <c r="Q25" s="171" t="s">
        <v>120</v>
      </c>
      <c r="R25" s="171" t="s">
        <v>121</v>
      </c>
      <c r="S25" s="171" t="s">
        <v>119</v>
      </c>
      <c r="T25" s="172" t="s">
        <v>122</v>
      </c>
      <c r="U25" s="133"/>
    </row>
    <row r="26" spans="2:21" ht="17.25">
      <c r="B26" s="164"/>
      <c r="C26" s="174" t="s">
        <v>123</v>
      </c>
      <c r="D26" s="175" t="s">
        <v>262</v>
      </c>
      <c r="E26" s="175" t="s">
        <v>124</v>
      </c>
      <c r="F26" s="176" t="s">
        <v>125</v>
      </c>
      <c r="G26" s="176" t="s">
        <v>126</v>
      </c>
      <c r="H26" s="175" t="s">
        <v>127</v>
      </c>
      <c r="I26" s="175" t="s">
        <v>128</v>
      </c>
      <c r="J26" s="176" t="s">
        <v>126</v>
      </c>
      <c r="K26" s="168"/>
      <c r="L26" s="164"/>
      <c r="M26" s="174" t="s">
        <v>123</v>
      </c>
      <c r="N26" s="175" t="s">
        <v>262</v>
      </c>
      <c r="O26" s="175" t="s">
        <v>124</v>
      </c>
      <c r="P26" s="176" t="s">
        <v>125</v>
      </c>
      <c r="Q26" s="176" t="s">
        <v>126</v>
      </c>
      <c r="R26" s="175" t="s">
        <v>127</v>
      </c>
      <c r="S26" s="175" t="s">
        <v>128</v>
      </c>
      <c r="T26" s="176" t="s">
        <v>126</v>
      </c>
      <c r="U26" s="133"/>
    </row>
    <row r="27" spans="2:21" s="183" customFormat="1" ht="15">
      <c r="B27" s="177"/>
      <c r="C27" s="362" t="s">
        <v>183</v>
      </c>
      <c r="D27" s="580">
        <v>14</v>
      </c>
      <c r="E27" s="598">
        <v>0.1794871794871795</v>
      </c>
      <c r="F27" s="599">
        <v>1</v>
      </c>
      <c r="G27" s="600">
        <v>597638</v>
      </c>
      <c r="H27" s="580">
        <v>37</v>
      </c>
      <c r="I27" s="183">
        <v>2</v>
      </c>
      <c r="J27" s="600">
        <v>2760854</v>
      </c>
      <c r="K27" s="181"/>
      <c r="L27" s="177"/>
      <c r="M27" s="468" t="s">
        <v>294</v>
      </c>
      <c r="N27" s="178">
        <v>20</v>
      </c>
      <c r="O27" s="179">
        <v>0.132</v>
      </c>
      <c r="P27" s="180">
        <v>1</v>
      </c>
      <c r="Q27" s="577">
        <v>475104</v>
      </c>
      <c r="R27" s="180">
        <v>60</v>
      </c>
      <c r="S27" s="180">
        <v>1</v>
      </c>
      <c r="T27" s="578">
        <v>5241564</v>
      </c>
      <c r="U27" s="182"/>
    </row>
    <row r="28" spans="2:21" s="156" customFormat="1" ht="14.25">
      <c r="B28" s="164"/>
      <c r="C28" s="134" t="s">
        <v>129</v>
      </c>
      <c r="D28" s="141">
        <v>12</v>
      </c>
      <c r="E28" s="595">
        <v>0.15384615384615385</v>
      </c>
      <c r="F28" s="141">
        <v>2</v>
      </c>
      <c r="G28" s="596">
        <v>2935318</v>
      </c>
      <c r="H28" s="597">
        <v>34</v>
      </c>
      <c r="I28" s="156">
        <v>3</v>
      </c>
      <c r="J28" s="596">
        <v>6465427</v>
      </c>
      <c r="K28" s="168"/>
      <c r="L28" s="164"/>
      <c r="M28" s="166" t="s">
        <v>129</v>
      </c>
      <c r="N28" s="579">
        <v>16</v>
      </c>
      <c r="O28" s="184">
        <v>0.106</v>
      </c>
      <c r="P28" s="185">
        <v>2</v>
      </c>
      <c r="Q28" s="186">
        <v>3367168</v>
      </c>
      <c r="R28" s="185">
        <v>40</v>
      </c>
      <c r="S28" s="185">
        <v>2</v>
      </c>
      <c r="T28" s="187">
        <v>7528197</v>
      </c>
      <c r="U28" s="133"/>
    </row>
    <row r="29" spans="2:21" s="156" customFormat="1" ht="14.25">
      <c r="B29" s="164"/>
      <c r="C29" s="115" t="s">
        <v>244</v>
      </c>
      <c r="D29" s="115">
        <v>6</v>
      </c>
      <c r="E29" s="581">
        <v>0.07692307692307693</v>
      </c>
      <c r="F29" s="115">
        <v>3</v>
      </c>
      <c r="G29" s="582">
        <v>238120</v>
      </c>
      <c r="H29" s="115">
        <v>31</v>
      </c>
      <c r="I29" s="156">
        <v>6</v>
      </c>
      <c r="J29" s="582">
        <v>2988743</v>
      </c>
      <c r="K29" s="168"/>
      <c r="L29" s="164"/>
      <c r="M29" s="166" t="s">
        <v>276</v>
      </c>
      <c r="N29" s="579">
        <v>9</v>
      </c>
      <c r="O29" s="184">
        <v>0.06</v>
      </c>
      <c r="P29" s="185">
        <v>3</v>
      </c>
      <c r="Q29" s="186">
        <v>838588</v>
      </c>
      <c r="R29" s="185">
        <v>36</v>
      </c>
      <c r="S29" s="185">
        <v>6</v>
      </c>
      <c r="T29" s="187">
        <v>4567780</v>
      </c>
      <c r="U29" s="133"/>
    </row>
    <row r="30" spans="2:21" s="156" customFormat="1" ht="14.25">
      <c r="B30" s="164"/>
      <c r="C30" s="115" t="s">
        <v>246</v>
      </c>
      <c r="D30" s="115">
        <v>5</v>
      </c>
      <c r="E30" s="581">
        <v>0.0641025641025641</v>
      </c>
      <c r="F30" s="115">
        <v>4</v>
      </c>
      <c r="G30" s="582">
        <v>928875</v>
      </c>
      <c r="H30" s="115">
        <v>34</v>
      </c>
      <c r="I30" s="156">
        <v>4</v>
      </c>
      <c r="J30" s="582">
        <v>6062764</v>
      </c>
      <c r="K30" s="168"/>
      <c r="L30" s="164"/>
      <c r="M30" s="166" t="s">
        <v>273</v>
      </c>
      <c r="N30" s="579">
        <v>8</v>
      </c>
      <c r="O30" s="184">
        <v>0.053</v>
      </c>
      <c r="P30" s="185">
        <v>4</v>
      </c>
      <c r="Q30" s="186">
        <v>831788</v>
      </c>
      <c r="R30" s="185">
        <v>39</v>
      </c>
      <c r="S30" s="185">
        <v>3</v>
      </c>
      <c r="T30" s="187">
        <v>6404159</v>
      </c>
      <c r="U30" s="133"/>
    </row>
    <row r="31" spans="2:21" s="156" customFormat="1" ht="14.25">
      <c r="B31" s="164"/>
      <c r="C31" s="115" t="s">
        <v>273</v>
      </c>
      <c r="D31" s="115">
        <v>5</v>
      </c>
      <c r="E31" s="581">
        <v>0.0641025641025641</v>
      </c>
      <c r="F31" s="115">
        <v>5</v>
      </c>
      <c r="G31" s="582">
        <v>741538</v>
      </c>
      <c r="H31" s="115">
        <v>37</v>
      </c>
      <c r="I31" s="156">
        <v>1</v>
      </c>
      <c r="J31" s="582">
        <v>6109518</v>
      </c>
      <c r="K31" s="168"/>
      <c r="L31" s="164"/>
      <c r="M31" s="166" t="s">
        <v>291</v>
      </c>
      <c r="N31" s="579">
        <v>8</v>
      </c>
      <c r="O31" s="184">
        <v>0.053</v>
      </c>
      <c r="P31" s="185">
        <v>5</v>
      </c>
      <c r="Q31" s="186">
        <v>638592</v>
      </c>
      <c r="R31" s="185">
        <v>31</v>
      </c>
      <c r="S31" s="185">
        <v>7</v>
      </c>
      <c r="T31" s="187">
        <v>5244320</v>
      </c>
      <c r="U31" s="133"/>
    </row>
    <row r="32" spans="2:21" s="156" customFormat="1" ht="14.25">
      <c r="B32" s="164"/>
      <c r="C32" s="115" t="s">
        <v>245</v>
      </c>
      <c r="D32" s="115">
        <v>5</v>
      </c>
      <c r="E32" s="581">
        <v>0.0641025641025641</v>
      </c>
      <c r="F32" s="115">
        <v>6</v>
      </c>
      <c r="G32" s="582">
        <v>697451</v>
      </c>
      <c r="H32" s="115">
        <v>33</v>
      </c>
      <c r="I32" s="156">
        <v>5</v>
      </c>
      <c r="J32" s="582">
        <v>6319292</v>
      </c>
      <c r="K32" s="168"/>
      <c r="L32" s="164"/>
      <c r="M32" s="166" t="s">
        <v>292</v>
      </c>
      <c r="N32" s="579">
        <v>8</v>
      </c>
      <c r="O32" s="184">
        <v>0.053</v>
      </c>
      <c r="P32" s="185">
        <v>6</v>
      </c>
      <c r="Q32" s="186">
        <v>478504</v>
      </c>
      <c r="R32" s="185">
        <v>27</v>
      </c>
      <c r="S32" s="185">
        <v>8</v>
      </c>
      <c r="T32" s="187">
        <v>5721924</v>
      </c>
      <c r="U32" s="133"/>
    </row>
    <row r="33" spans="2:21" s="156" customFormat="1" ht="14.25">
      <c r="B33" s="164"/>
      <c r="C33" s="115" t="s">
        <v>293</v>
      </c>
      <c r="D33" s="115">
        <v>5</v>
      </c>
      <c r="E33" s="581">
        <v>0.0641025641025641</v>
      </c>
      <c r="F33" s="115">
        <v>7</v>
      </c>
      <c r="G33" s="582">
        <v>420098</v>
      </c>
      <c r="H33" s="115">
        <v>14</v>
      </c>
      <c r="I33" s="156">
        <v>7</v>
      </c>
      <c r="J33" s="582">
        <v>1433045</v>
      </c>
      <c r="K33" s="168"/>
      <c r="L33" s="164"/>
      <c r="M33" s="166" t="s">
        <v>277</v>
      </c>
      <c r="N33" s="579">
        <v>8</v>
      </c>
      <c r="O33" s="184">
        <v>0.053</v>
      </c>
      <c r="P33" s="185">
        <v>7</v>
      </c>
      <c r="Q33" s="186">
        <v>111228</v>
      </c>
      <c r="R33" s="185">
        <v>24</v>
      </c>
      <c r="S33" s="185">
        <v>9</v>
      </c>
      <c r="T33" s="187">
        <v>2006830</v>
      </c>
      <c r="U33" s="133"/>
    </row>
    <row r="34" spans="2:21" s="156" customFormat="1" ht="14.25">
      <c r="B34" s="164"/>
      <c r="C34" s="115" t="s">
        <v>134</v>
      </c>
      <c r="D34" s="115">
        <v>3</v>
      </c>
      <c r="E34" s="581">
        <v>0.038461538461538464</v>
      </c>
      <c r="F34" s="115">
        <v>8</v>
      </c>
      <c r="G34" s="582">
        <v>222438</v>
      </c>
      <c r="H34" s="115">
        <v>11</v>
      </c>
      <c r="I34" s="156">
        <v>8</v>
      </c>
      <c r="J34" s="582">
        <v>1119505</v>
      </c>
      <c r="K34" s="168"/>
      <c r="L34" s="164"/>
      <c r="M34" s="166" t="s">
        <v>130</v>
      </c>
      <c r="N34" s="579">
        <v>6</v>
      </c>
      <c r="O34" s="184">
        <v>0.04</v>
      </c>
      <c r="P34" s="185">
        <v>8</v>
      </c>
      <c r="Q34" s="186">
        <v>125009</v>
      </c>
      <c r="R34" s="185">
        <v>39</v>
      </c>
      <c r="S34" s="185">
        <v>4</v>
      </c>
      <c r="T34" s="187">
        <v>4743309</v>
      </c>
      <c r="U34" s="133"/>
    </row>
    <row r="35" spans="2:21" s="156" customFormat="1" ht="12" customHeight="1">
      <c r="B35" s="164"/>
      <c r="C35" s="115" t="s">
        <v>295</v>
      </c>
      <c r="D35" s="115">
        <v>2</v>
      </c>
      <c r="E35" s="581">
        <v>0.02564102564102564</v>
      </c>
      <c r="F35" s="115">
        <v>9</v>
      </c>
      <c r="G35" s="582">
        <v>641485</v>
      </c>
      <c r="H35" s="115">
        <v>6</v>
      </c>
      <c r="I35" s="156">
        <v>10</v>
      </c>
      <c r="J35" s="582">
        <v>1484956</v>
      </c>
      <c r="K35" s="168"/>
      <c r="L35" s="164"/>
      <c r="M35" s="166" t="s">
        <v>132</v>
      </c>
      <c r="N35" s="579">
        <v>5</v>
      </c>
      <c r="O35" s="184">
        <v>0.033</v>
      </c>
      <c r="P35" s="185">
        <v>9</v>
      </c>
      <c r="Q35" s="186">
        <v>234042</v>
      </c>
      <c r="R35" s="185">
        <v>38</v>
      </c>
      <c r="S35" s="185">
        <v>5</v>
      </c>
      <c r="T35" s="187">
        <v>2974053</v>
      </c>
      <c r="U35" s="133"/>
    </row>
    <row r="36" spans="2:21" s="156" customFormat="1" ht="14.25">
      <c r="B36" s="164"/>
      <c r="C36" s="115" t="s">
        <v>296</v>
      </c>
      <c r="D36" s="115">
        <v>2</v>
      </c>
      <c r="E36" s="581">
        <v>0.02564102564102564</v>
      </c>
      <c r="F36" s="115">
        <v>10</v>
      </c>
      <c r="G36" s="582">
        <v>310501</v>
      </c>
      <c r="H36" s="115">
        <v>9</v>
      </c>
      <c r="I36" s="156">
        <v>9</v>
      </c>
      <c r="J36" s="582">
        <v>2366346</v>
      </c>
      <c r="K36" s="168"/>
      <c r="L36" s="164"/>
      <c r="M36" s="166" t="s">
        <v>293</v>
      </c>
      <c r="N36" s="579">
        <v>4</v>
      </c>
      <c r="O36" s="184">
        <v>0.026</v>
      </c>
      <c r="P36" s="185">
        <v>10</v>
      </c>
      <c r="Q36" s="186">
        <v>2019500</v>
      </c>
      <c r="R36" s="185">
        <v>12</v>
      </c>
      <c r="S36" s="185">
        <v>10</v>
      </c>
      <c r="T36" s="187">
        <v>3632270</v>
      </c>
      <c r="U36" s="133"/>
    </row>
    <row r="37" spans="2:21" s="156" customFormat="1" ht="14.25">
      <c r="B37" s="164"/>
      <c r="C37" s="115" t="s">
        <v>133</v>
      </c>
      <c r="D37" s="115">
        <v>19</v>
      </c>
      <c r="E37" s="583">
        <v>0.24358974358974358</v>
      </c>
      <c r="F37" s="115"/>
      <c r="G37" s="584">
        <v>1240817</v>
      </c>
      <c r="H37" s="115"/>
      <c r="I37" s="115"/>
      <c r="J37" s="115"/>
      <c r="K37" s="168"/>
      <c r="L37" s="164"/>
      <c r="M37" s="166" t="s">
        <v>133</v>
      </c>
      <c r="N37" s="579">
        <v>59</v>
      </c>
      <c r="O37" s="184">
        <v>0.391</v>
      </c>
      <c r="P37" s="185"/>
      <c r="Q37" s="186">
        <v>4823565</v>
      </c>
      <c r="R37" s="469"/>
      <c r="S37" s="469"/>
      <c r="T37" s="471"/>
      <c r="U37" s="133"/>
    </row>
    <row r="38" spans="2:21" s="156" customFormat="1" ht="15.75" thickBot="1">
      <c r="B38" s="164"/>
      <c r="C38" s="166"/>
      <c r="D38" s="188">
        <f>SUM(D27:D37)</f>
        <v>78</v>
      </c>
      <c r="E38" s="508">
        <f>SUM(E27:E37)</f>
        <v>1</v>
      </c>
      <c r="F38" s="187" t="s">
        <v>56</v>
      </c>
      <c r="G38" s="189"/>
      <c r="H38" s="190"/>
      <c r="I38" s="185"/>
      <c r="J38" s="191"/>
      <c r="K38" s="168"/>
      <c r="L38" s="164"/>
      <c r="M38" s="166"/>
      <c r="N38" s="472">
        <f>SUM(N27:N37)</f>
        <v>151</v>
      </c>
      <c r="O38" s="473">
        <f>SUM(O27:O37)</f>
        <v>1</v>
      </c>
      <c r="P38" s="471"/>
      <c r="Q38" s="470"/>
      <c r="R38" s="474"/>
      <c r="S38" s="469"/>
      <c r="T38" s="475"/>
      <c r="U38" s="133"/>
    </row>
    <row r="39" spans="2:21" s="156" customFormat="1" ht="15.75" thickTop="1">
      <c r="B39" s="164"/>
      <c r="C39" s="166"/>
      <c r="D39" s="178"/>
      <c r="E39" s="179"/>
      <c r="F39" s="187"/>
      <c r="G39" s="186"/>
      <c r="H39" s="190"/>
      <c r="I39" s="185"/>
      <c r="J39" s="191"/>
      <c r="K39" s="168"/>
      <c r="L39" s="164"/>
      <c r="M39" s="166"/>
      <c r="N39" s="178"/>
      <c r="O39" s="179"/>
      <c r="P39" s="187"/>
      <c r="Q39" s="186"/>
      <c r="R39" s="190"/>
      <c r="S39" s="185"/>
      <c r="T39" s="191"/>
      <c r="U39" s="133"/>
    </row>
    <row r="40" spans="2:21" ht="14.25">
      <c r="B40" s="193"/>
      <c r="C40" s="194"/>
      <c r="D40" s="509"/>
      <c r="E40" s="510"/>
      <c r="F40" s="194"/>
      <c r="G40" s="511" t="s">
        <v>56</v>
      </c>
      <c r="H40" s="511" t="s">
        <v>56</v>
      </c>
      <c r="I40" s="194"/>
      <c r="J40" s="512"/>
      <c r="K40" s="195"/>
      <c r="L40" s="193"/>
      <c r="M40" s="194"/>
      <c r="N40" s="196"/>
      <c r="O40" s="197"/>
      <c r="P40" s="196"/>
      <c r="Q40" s="198" t="s">
        <v>56</v>
      </c>
      <c r="R40" s="198" t="s">
        <v>56</v>
      </c>
      <c r="S40" s="196"/>
      <c r="T40" s="199"/>
      <c r="U40" s="200"/>
    </row>
    <row r="41" spans="2:21" ht="14.25">
      <c r="B41" s="166"/>
      <c r="C41" s="166"/>
      <c r="D41" s="513"/>
      <c r="E41" s="166"/>
      <c r="F41" s="167"/>
      <c r="G41" s="170"/>
      <c r="H41" s="514"/>
      <c r="I41" s="166"/>
      <c r="J41" s="513"/>
      <c r="K41" s="166"/>
      <c r="L41" s="166"/>
      <c r="M41" s="166"/>
      <c r="N41" s="185"/>
      <c r="O41" s="184"/>
      <c r="P41" s="185"/>
      <c r="Q41" s="186"/>
      <c r="R41" s="186"/>
      <c r="S41" s="185"/>
      <c r="T41" s="201"/>
      <c r="U41" s="134"/>
    </row>
    <row r="42" spans="2:21" ht="15">
      <c r="B42" s="203"/>
      <c r="C42" s="203"/>
      <c r="D42" s="207"/>
      <c r="E42" s="203"/>
      <c r="F42" s="204"/>
      <c r="G42" s="205"/>
      <c r="H42" s="206"/>
      <c r="I42" s="203"/>
      <c r="J42" s="207"/>
      <c r="K42" s="203"/>
      <c r="L42" s="203"/>
      <c r="M42" s="189"/>
      <c r="N42" s="189"/>
      <c r="O42" s="203"/>
      <c r="P42" s="189"/>
      <c r="Q42" s="189"/>
      <c r="R42" s="189"/>
      <c r="S42" s="208"/>
      <c r="T42" s="209"/>
      <c r="U42" s="126"/>
    </row>
    <row r="43" spans="2:21" ht="15" outlineLevel="1">
      <c r="B43" s="210" t="s">
        <v>266</v>
      </c>
      <c r="C43" s="515"/>
      <c r="D43" s="207"/>
      <c r="E43" s="203"/>
      <c r="F43" s="204"/>
      <c r="G43" s="205"/>
      <c r="H43" s="206"/>
      <c r="I43" s="203"/>
      <c r="J43" s="207"/>
      <c r="K43" s="203"/>
      <c r="L43" s="203"/>
      <c r="M43" s="203"/>
      <c r="N43" s="206"/>
      <c r="O43" s="203"/>
      <c r="P43" s="204"/>
      <c r="Q43" s="207"/>
      <c r="R43" s="207"/>
      <c r="S43" s="203"/>
      <c r="T43" s="211"/>
      <c r="U43" s="126"/>
    </row>
    <row r="44" spans="2:21" ht="9" customHeight="1" outlineLevel="1">
      <c r="B44" s="203"/>
      <c r="C44" s="515"/>
      <c r="D44" s="207"/>
      <c r="E44" s="203"/>
      <c r="F44" s="204"/>
      <c r="G44" s="205"/>
      <c r="H44" s="206"/>
      <c r="I44" s="203"/>
      <c r="J44" s="207"/>
      <c r="K44" s="203"/>
      <c r="L44" s="203"/>
      <c r="M44" s="203"/>
      <c r="N44" s="206"/>
      <c r="O44" s="203"/>
      <c r="P44" s="204"/>
      <c r="Q44" s="207"/>
      <c r="R44" s="207"/>
      <c r="S44" s="203"/>
      <c r="T44" s="211"/>
      <c r="U44" s="126"/>
    </row>
    <row r="45" spans="2:21" ht="15" outlineLevel="1">
      <c r="B45" s="158"/>
      <c r="C45" s="159" t="s">
        <v>288</v>
      </c>
      <c r="D45" s="160"/>
      <c r="E45" s="160"/>
      <c r="F45" s="161"/>
      <c r="G45" s="160" t="s">
        <v>56</v>
      </c>
      <c r="H45" s="160"/>
      <c r="I45" s="160"/>
      <c r="J45" s="160"/>
      <c r="K45" s="162"/>
      <c r="L45" s="158"/>
      <c r="M45" s="159" t="s">
        <v>289</v>
      </c>
      <c r="N45" s="160"/>
      <c r="O45" s="160"/>
      <c r="P45" s="161"/>
      <c r="Q45" s="160"/>
      <c r="R45" s="160"/>
      <c r="S45" s="160"/>
      <c r="T45" s="212"/>
      <c r="U45" s="130"/>
    </row>
    <row r="46" spans="2:21" ht="15" outlineLevel="1">
      <c r="B46" s="164"/>
      <c r="C46" s="165"/>
      <c r="D46" s="166"/>
      <c r="E46" s="166"/>
      <c r="F46" s="167"/>
      <c r="G46" s="166"/>
      <c r="H46" s="166"/>
      <c r="I46" s="166"/>
      <c r="J46" s="166"/>
      <c r="K46" s="168"/>
      <c r="L46" s="164"/>
      <c r="M46" s="165"/>
      <c r="N46" s="166"/>
      <c r="O46" s="166"/>
      <c r="P46" s="167"/>
      <c r="Q46" s="166"/>
      <c r="R46" s="166"/>
      <c r="S46" s="166"/>
      <c r="T46" s="213"/>
      <c r="U46" s="132"/>
    </row>
    <row r="47" spans="2:21" ht="15" outlineLevel="1">
      <c r="B47" s="164"/>
      <c r="C47" s="165"/>
      <c r="D47" s="166"/>
      <c r="E47" s="166"/>
      <c r="F47" s="167"/>
      <c r="G47" s="166"/>
      <c r="H47" s="166"/>
      <c r="I47" s="166"/>
      <c r="J47" s="166"/>
      <c r="K47" s="168"/>
      <c r="L47" s="164"/>
      <c r="M47" s="165"/>
      <c r="N47" s="166"/>
      <c r="O47" s="166"/>
      <c r="P47" s="167"/>
      <c r="Q47" s="166"/>
      <c r="R47" s="166"/>
      <c r="S47" s="166"/>
      <c r="T47" s="213"/>
      <c r="U47" s="132"/>
    </row>
    <row r="48" spans="2:21" ht="15" outlineLevel="1">
      <c r="B48" s="164"/>
      <c r="C48" s="166"/>
      <c r="D48" s="170"/>
      <c r="E48" s="170"/>
      <c r="F48" s="170"/>
      <c r="G48" s="171" t="s">
        <v>115</v>
      </c>
      <c r="H48" s="170"/>
      <c r="I48" s="170"/>
      <c r="J48" s="172" t="s">
        <v>116</v>
      </c>
      <c r="K48" s="168"/>
      <c r="L48" s="164"/>
      <c r="M48" s="166"/>
      <c r="N48" s="170"/>
      <c r="O48" s="170"/>
      <c r="P48" s="170"/>
      <c r="Q48" s="171" t="s">
        <v>115</v>
      </c>
      <c r="R48" s="170"/>
      <c r="S48" s="170"/>
      <c r="T48" s="171" t="s">
        <v>116</v>
      </c>
      <c r="U48" s="132"/>
    </row>
    <row r="49" spans="2:21" ht="15" outlineLevel="1">
      <c r="B49" s="164"/>
      <c r="C49" s="173"/>
      <c r="D49" s="171" t="s">
        <v>117</v>
      </c>
      <c r="E49" s="171" t="s">
        <v>118</v>
      </c>
      <c r="F49" s="171" t="s">
        <v>119</v>
      </c>
      <c r="G49" s="171" t="s">
        <v>120</v>
      </c>
      <c r="H49" s="171" t="s">
        <v>121</v>
      </c>
      <c r="I49" s="171" t="s">
        <v>119</v>
      </c>
      <c r="J49" s="172" t="s">
        <v>122</v>
      </c>
      <c r="K49" s="168"/>
      <c r="L49" s="164"/>
      <c r="M49" s="173"/>
      <c r="N49" s="171" t="s">
        <v>117</v>
      </c>
      <c r="O49" s="171" t="s">
        <v>118</v>
      </c>
      <c r="P49" s="171" t="s">
        <v>119</v>
      </c>
      <c r="Q49" s="214" t="s">
        <v>120</v>
      </c>
      <c r="R49" s="171" t="s">
        <v>121</v>
      </c>
      <c r="S49" s="171" t="s">
        <v>119</v>
      </c>
      <c r="T49" s="171" t="s">
        <v>122</v>
      </c>
      <c r="U49" s="132"/>
    </row>
    <row r="50" spans="2:21" ht="17.25" outlineLevel="1">
      <c r="B50" s="164"/>
      <c r="C50" s="174" t="s">
        <v>123</v>
      </c>
      <c r="D50" s="175" t="s">
        <v>262</v>
      </c>
      <c r="E50" s="175" t="s">
        <v>124</v>
      </c>
      <c r="F50" s="176" t="s">
        <v>125</v>
      </c>
      <c r="G50" s="176" t="s">
        <v>126</v>
      </c>
      <c r="H50" s="175" t="s">
        <v>127</v>
      </c>
      <c r="I50" s="175" t="s">
        <v>128</v>
      </c>
      <c r="J50" s="176" t="s">
        <v>126</v>
      </c>
      <c r="K50" s="168"/>
      <c r="L50" s="164"/>
      <c r="M50" s="174" t="s">
        <v>123</v>
      </c>
      <c r="N50" s="175" t="s">
        <v>262</v>
      </c>
      <c r="O50" s="175" t="s">
        <v>124</v>
      </c>
      <c r="P50" s="175" t="s">
        <v>125</v>
      </c>
      <c r="Q50" s="215" t="s">
        <v>126</v>
      </c>
      <c r="R50" s="175" t="s">
        <v>127</v>
      </c>
      <c r="S50" s="175" t="s">
        <v>128</v>
      </c>
      <c r="T50" s="176" t="s">
        <v>126</v>
      </c>
      <c r="U50" s="132"/>
    </row>
    <row r="51" spans="2:23" s="156" customFormat="1" ht="15" outlineLevel="1">
      <c r="B51" s="164"/>
      <c r="C51" s="468" t="s">
        <v>294</v>
      </c>
      <c r="D51" s="362">
        <v>89</v>
      </c>
      <c r="E51" s="179">
        <v>0.20045045045045046</v>
      </c>
      <c r="F51" s="578">
        <v>1</v>
      </c>
      <c r="G51" s="585">
        <v>2435318</v>
      </c>
      <c r="H51" s="362">
        <v>183</v>
      </c>
      <c r="I51" s="180">
        <v>1</v>
      </c>
      <c r="J51" s="585">
        <v>15763583</v>
      </c>
      <c r="K51" s="181"/>
      <c r="L51" s="164"/>
      <c r="M51" s="468" t="s">
        <v>294</v>
      </c>
      <c r="N51" s="180">
        <v>175</v>
      </c>
      <c r="O51" s="179">
        <v>0.177</v>
      </c>
      <c r="P51" s="578">
        <v>1</v>
      </c>
      <c r="Q51" s="577">
        <v>6082537</v>
      </c>
      <c r="R51" s="178">
        <v>395</v>
      </c>
      <c r="S51" s="180">
        <v>1</v>
      </c>
      <c r="T51" s="577">
        <v>24834367</v>
      </c>
      <c r="U51" s="133"/>
      <c r="W51" s="216"/>
    </row>
    <row r="52" spans="2:23" ht="14.25" outlineLevel="1">
      <c r="B52" s="164"/>
      <c r="C52" s="115" t="s">
        <v>247</v>
      </c>
      <c r="D52" s="115">
        <v>39</v>
      </c>
      <c r="E52" s="184">
        <v>0.08783783783783784</v>
      </c>
      <c r="F52" s="187">
        <v>2</v>
      </c>
      <c r="G52" s="582">
        <v>5637979</v>
      </c>
      <c r="H52" s="115">
        <v>119</v>
      </c>
      <c r="I52" s="185">
        <v>3</v>
      </c>
      <c r="J52" s="582">
        <v>24795176</v>
      </c>
      <c r="K52" s="168"/>
      <c r="L52" s="164"/>
      <c r="M52" s="166" t="s">
        <v>129</v>
      </c>
      <c r="N52" s="185">
        <v>84</v>
      </c>
      <c r="O52" s="184">
        <v>0.085</v>
      </c>
      <c r="P52" s="187">
        <v>2</v>
      </c>
      <c r="Q52" s="186">
        <v>8277406</v>
      </c>
      <c r="R52" s="579">
        <v>208</v>
      </c>
      <c r="S52" s="185">
        <v>2</v>
      </c>
      <c r="T52" s="186">
        <v>22963608</v>
      </c>
      <c r="U52" s="132"/>
      <c r="W52" s="217"/>
    </row>
    <row r="53" spans="2:23" ht="14.25" outlineLevel="1">
      <c r="B53" s="164"/>
      <c r="C53" s="115" t="s">
        <v>271</v>
      </c>
      <c r="D53" s="115">
        <v>37</v>
      </c>
      <c r="E53" s="184">
        <v>0.08333333333333333</v>
      </c>
      <c r="F53" s="187">
        <v>3</v>
      </c>
      <c r="G53" s="582">
        <v>2074997</v>
      </c>
      <c r="H53" s="115">
        <v>107</v>
      </c>
      <c r="I53" s="185">
        <v>4</v>
      </c>
      <c r="J53" s="582">
        <v>10592834</v>
      </c>
      <c r="K53" s="168"/>
      <c r="L53" s="164"/>
      <c r="M53" s="166" t="s">
        <v>291</v>
      </c>
      <c r="N53" s="185">
        <v>62</v>
      </c>
      <c r="O53" s="184">
        <v>0.063</v>
      </c>
      <c r="P53" s="187">
        <v>3</v>
      </c>
      <c r="Q53" s="186">
        <v>4549448</v>
      </c>
      <c r="R53" s="579">
        <v>170</v>
      </c>
      <c r="S53" s="185">
        <v>5</v>
      </c>
      <c r="T53" s="186">
        <v>22687122</v>
      </c>
      <c r="U53" s="132"/>
      <c r="W53" s="217"/>
    </row>
    <row r="54" spans="2:23" ht="14.25" outlineLevel="1">
      <c r="B54" s="164"/>
      <c r="C54" s="115" t="s">
        <v>245</v>
      </c>
      <c r="D54" s="115">
        <v>33</v>
      </c>
      <c r="E54" s="184">
        <v>0.07432432432432433</v>
      </c>
      <c r="F54" s="187">
        <v>4</v>
      </c>
      <c r="G54" s="582">
        <v>7979273</v>
      </c>
      <c r="H54" s="115">
        <v>103</v>
      </c>
      <c r="I54" s="185">
        <v>5</v>
      </c>
      <c r="J54" s="582">
        <v>24481460</v>
      </c>
      <c r="K54" s="168"/>
      <c r="L54" s="164"/>
      <c r="M54" s="166" t="s">
        <v>292</v>
      </c>
      <c r="N54" s="185">
        <v>59</v>
      </c>
      <c r="O54" s="184">
        <v>0.06</v>
      </c>
      <c r="P54" s="187">
        <v>4</v>
      </c>
      <c r="Q54" s="186">
        <v>6047413</v>
      </c>
      <c r="R54" s="579">
        <v>168</v>
      </c>
      <c r="S54" s="185">
        <v>6</v>
      </c>
      <c r="T54" s="186">
        <v>21637190</v>
      </c>
      <c r="U54" s="132"/>
      <c r="W54" s="217"/>
    </row>
    <row r="55" spans="2:23" ht="14.25" outlineLevel="1">
      <c r="B55" s="164"/>
      <c r="C55" s="115" t="s">
        <v>267</v>
      </c>
      <c r="D55" s="115">
        <v>32</v>
      </c>
      <c r="E55" s="184">
        <v>0.07207207207207207</v>
      </c>
      <c r="F55" s="187">
        <v>5</v>
      </c>
      <c r="G55" s="582">
        <v>205621</v>
      </c>
      <c r="H55" s="115">
        <v>102</v>
      </c>
      <c r="I55" s="185">
        <v>6</v>
      </c>
      <c r="J55" s="582">
        <v>8348002</v>
      </c>
      <c r="K55" s="168"/>
      <c r="L55" s="164"/>
      <c r="M55" s="156" t="s">
        <v>134</v>
      </c>
      <c r="N55" s="185">
        <v>37</v>
      </c>
      <c r="O55" s="184">
        <v>0.038</v>
      </c>
      <c r="P55" s="187">
        <v>5</v>
      </c>
      <c r="Q55" s="186">
        <v>2312317</v>
      </c>
      <c r="R55" s="579">
        <v>105</v>
      </c>
      <c r="S55" s="185">
        <v>9</v>
      </c>
      <c r="T55" s="186">
        <v>7717348</v>
      </c>
      <c r="U55" s="132"/>
      <c r="W55" s="217"/>
    </row>
    <row r="56" spans="2:23" ht="14.25" outlineLevel="1">
      <c r="B56" s="164"/>
      <c r="C56" s="115" t="s">
        <v>246</v>
      </c>
      <c r="D56" s="115">
        <v>22</v>
      </c>
      <c r="E56" s="184">
        <v>0.04954954954954955</v>
      </c>
      <c r="F56" s="187">
        <v>6</v>
      </c>
      <c r="G56" s="582">
        <v>2758071</v>
      </c>
      <c r="H56" s="115">
        <v>122</v>
      </c>
      <c r="I56" s="185">
        <v>2</v>
      </c>
      <c r="J56" s="582">
        <v>24332715</v>
      </c>
      <c r="K56" s="168"/>
      <c r="L56" s="164"/>
      <c r="M56" s="166" t="s">
        <v>276</v>
      </c>
      <c r="N56" s="185">
        <v>34</v>
      </c>
      <c r="O56" s="184">
        <v>0.034</v>
      </c>
      <c r="P56" s="187">
        <v>6</v>
      </c>
      <c r="Q56" s="186">
        <v>4688066</v>
      </c>
      <c r="R56" s="579">
        <v>192</v>
      </c>
      <c r="S56" s="185">
        <v>3</v>
      </c>
      <c r="T56" s="186">
        <v>19636938</v>
      </c>
      <c r="U56" s="132"/>
      <c r="W56" s="217"/>
    </row>
    <row r="57" spans="2:23" ht="14.25" outlineLevel="1">
      <c r="B57" s="164"/>
      <c r="C57" s="115" t="s">
        <v>272</v>
      </c>
      <c r="D57" s="115">
        <v>21</v>
      </c>
      <c r="E57" s="184">
        <v>0.0472972972972973</v>
      </c>
      <c r="F57" s="187">
        <v>7</v>
      </c>
      <c r="G57" s="582">
        <v>346497</v>
      </c>
      <c r="H57" s="115">
        <v>95</v>
      </c>
      <c r="I57" s="185">
        <v>7</v>
      </c>
      <c r="J57" s="582">
        <v>10289575</v>
      </c>
      <c r="K57" s="168"/>
      <c r="L57" s="164"/>
      <c r="M57" s="166" t="s">
        <v>130</v>
      </c>
      <c r="N57" s="185">
        <v>32</v>
      </c>
      <c r="O57" s="184">
        <v>0.032</v>
      </c>
      <c r="P57" s="187">
        <v>7</v>
      </c>
      <c r="Q57" s="186">
        <v>4001528</v>
      </c>
      <c r="R57" s="579">
        <v>190</v>
      </c>
      <c r="S57" s="185">
        <v>4</v>
      </c>
      <c r="T57" s="186">
        <v>20556802</v>
      </c>
      <c r="U57" s="132"/>
      <c r="W57" s="217"/>
    </row>
    <row r="58" spans="2:23" ht="14.25" outlineLevel="1">
      <c r="B58" s="164"/>
      <c r="C58" s="115" t="s">
        <v>248</v>
      </c>
      <c r="D58" s="115">
        <v>18</v>
      </c>
      <c r="E58" s="184">
        <v>0.04054054054054054</v>
      </c>
      <c r="F58" s="187">
        <v>8</v>
      </c>
      <c r="G58" s="582">
        <v>472164</v>
      </c>
      <c r="H58" s="115">
        <v>92</v>
      </c>
      <c r="I58" s="185">
        <v>8</v>
      </c>
      <c r="J58" s="582">
        <v>7758373</v>
      </c>
      <c r="K58" s="168"/>
      <c r="L58" s="164"/>
      <c r="M58" s="166" t="s">
        <v>131</v>
      </c>
      <c r="N58" s="185">
        <v>32</v>
      </c>
      <c r="O58" s="184">
        <v>0.032</v>
      </c>
      <c r="P58" s="187">
        <v>8</v>
      </c>
      <c r="Q58" s="186">
        <v>845776</v>
      </c>
      <c r="R58" s="579">
        <v>157</v>
      </c>
      <c r="S58" s="185">
        <v>8</v>
      </c>
      <c r="T58" s="186">
        <v>12563815</v>
      </c>
      <c r="U58" s="132"/>
      <c r="W58" s="217"/>
    </row>
    <row r="59" spans="2:23" ht="14.25" outlineLevel="1">
      <c r="B59" s="164"/>
      <c r="C59" s="115" t="s">
        <v>275</v>
      </c>
      <c r="D59" s="115">
        <v>16</v>
      </c>
      <c r="E59" s="184">
        <v>0.036036036036036036</v>
      </c>
      <c r="F59" s="187">
        <v>9</v>
      </c>
      <c r="G59" s="582">
        <v>269699</v>
      </c>
      <c r="H59" s="115">
        <v>72</v>
      </c>
      <c r="I59" s="185">
        <v>9</v>
      </c>
      <c r="J59" s="582">
        <v>6741305</v>
      </c>
      <c r="K59" s="168"/>
      <c r="L59" s="164"/>
      <c r="M59" s="166" t="s">
        <v>277</v>
      </c>
      <c r="N59" s="185">
        <v>30</v>
      </c>
      <c r="O59" s="184">
        <v>0.03</v>
      </c>
      <c r="P59" s="187">
        <v>9</v>
      </c>
      <c r="Q59" s="186">
        <v>519698</v>
      </c>
      <c r="R59" s="579">
        <v>160</v>
      </c>
      <c r="S59" s="185">
        <v>7</v>
      </c>
      <c r="T59" s="186">
        <v>8103696</v>
      </c>
      <c r="U59" s="132"/>
      <c r="W59" s="217"/>
    </row>
    <row r="60" spans="2:23" ht="14.25" outlineLevel="1">
      <c r="B60" s="164"/>
      <c r="C60" s="115" t="s">
        <v>274</v>
      </c>
      <c r="D60" s="115">
        <v>15</v>
      </c>
      <c r="E60" s="184">
        <v>0.033783783783783786</v>
      </c>
      <c r="F60" s="187">
        <v>10</v>
      </c>
      <c r="G60" s="582">
        <v>101879</v>
      </c>
      <c r="H60" s="115">
        <v>41</v>
      </c>
      <c r="I60" s="185">
        <v>10</v>
      </c>
      <c r="J60" s="582">
        <v>904736</v>
      </c>
      <c r="K60" s="168"/>
      <c r="L60" s="164"/>
      <c r="M60" s="156" t="s">
        <v>135</v>
      </c>
      <c r="N60" s="185">
        <v>30</v>
      </c>
      <c r="O60" s="184">
        <v>0.03</v>
      </c>
      <c r="P60" s="187">
        <v>10</v>
      </c>
      <c r="Q60" s="186">
        <v>405847</v>
      </c>
      <c r="R60" s="579">
        <v>81</v>
      </c>
      <c r="S60" s="185">
        <v>10</v>
      </c>
      <c r="T60" s="186">
        <v>3274302</v>
      </c>
      <c r="U60" s="132"/>
      <c r="W60" s="217"/>
    </row>
    <row r="61" spans="2:23" ht="14.25" outlineLevel="1">
      <c r="B61" s="164"/>
      <c r="C61" s="166" t="s">
        <v>133</v>
      </c>
      <c r="D61" s="115">
        <v>122</v>
      </c>
      <c r="E61" s="184">
        <v>0.2747747747747748</v>
      </c>
      <c r="F61" s="187"/>
      <c r="G61" s="186">
        <v>9321863</v>
      </c>
      <c r="H61" s="166"/>
      <c r="I61" s="185"/>
      <c r="J61" s="186"/>
      <c r="K61" s="168"/>
      <c r="L61" s="164"/>
      <c r="M61" s="166" t="s">
        <v>133</v>
      </c>
      <c r="N61" s="185">
        <v>411</v>
      </c>
      <c r="O61" s="184">
        <v>0.419</v>
      </c>
      <c r="P61" s="187"/>
      <c r="Q61" s="186">
        <v>20771507</v>
      </c>
      <c r="R61" s="166"/>
      <c r="S61" s="185"/>
      <c r="T61" s="186"/>
      <c r="U61" s="218"/>
      <c r="W61" s="217"/>
    </row>
    <row r="62" spans="2:23" ht="15.75" outlineLevel="1" thickBot="1">
      <c r="B62" s="164"/>
      <c r="C62" s="166"/>
      <c r="D62" s="516">
        <f>SUM(D51:D61)</f>
        <v>444</v>
      </c>
      <c r="E62" s="192">
        <f>SUM(E51:E61)</f>
        <v>1</v>
      </c>
      <c r="F62" s="191"/>
      <c r="G62" s="166"/>
      <c r="H62" s="166"/>
      <c r="I62" s="187"/>
      <c r="J62" s="186"/>
      <c r="K62" s="168"/>
      <c r="L62" s="164"/>
      <c r="M62" s="166"/>
      <c r="N62" s="188">
        <f>SUM(N51:N61)</f>
        <v>986</v>
      </c>
      <c r="O62" s="192">
        <f>SUM(O51:O61)</f>
        <v>1</v>
      </c>
      <c r="P62" s="187"/>
      <c r="Q62" s="186"/>
      <c r="R62" s="190"/>
      <c r="S62" s="185"/>
      <c r="T62" s="191"/>
      <c r="U62" s="133"/>
      <c r="W62" s="217"/>
    </row>
    <row r="63" spans="2:21" ht="15.75" outlineLevel="1" thickTop="1">
      <c r="B63" s="164"/>
      <c r="C63" s="166"/>
      <c r="D63" s="190"/>
      <c r="E63" s="185"/>
      <c r="F63" s="191"/>
      <c r="G63" s="189"/>
      <c r="H63" s="179"/>
      <c r="I63" s="187"/>
      <c r="J63" s="186"/>
      <c r="K63" s="168"/>
      <c r="L63" s="164"/>
      <c r="M63" s="166"/>
      <c r="N63" s="178"/>
      <c r="O63" s="179"/>
      <c r="P63" s="187"/>
      <c r="Q63" s="186"/>
      <c r="R63" s="190"/>
      <c r="S63" s="185"/>
      <c r="T63" s="191"/>
      <c r="U63" s="133"/>
    </row>
    <row r="64" spans="2:21" ht="14.25" outlineLevel="1">
      <c r="B64" s="193"/>
      <c r="C64" s="194"/>
      <c r="D64" s="198" t="s">
        <v>56</v>
      </c>
      <c r="E64" s="196"/>
      <c r="F64" s="199"/>
      <c r="G64" s="196"/>
      <c r="H64" s="197"/>
      <c r="I64" s="196"/>
      <c r="J64" s="198" t="s">
        <v>56</v>
      </c>
      <c r="K64" s="195"/>
      <c r="L64" s="193"/>
      <c r="M64" s="194"/>
      <c r="N64" s="196" t="s">
        <v>56</v>
      </c>
      <c r="O64" s="197"/>
      <c r="P64" s="196"/>
      <c r="Q64" s="198"/>
      <c r="R64" s="198"/>
      <c r="S64" s="196"/>
      <c r="T64" s="199" t="s">
        <v>56</v>
      </c>
      <c r="U64" s="200"/>
    </row>
    <row r="65" spans="2:21" ht="14.25" outlineLevel="1">
      <c r="B65" s="166"/>
      <c r="C65" s="166"/>
      <c r="D65" s="186"/>
      <c r="E65" s="185"/>
      <c r="F65" s="201"/>
      <c r="G65" s="185"/>
      <c r="H65" s="184"/>
      <c r="I65" s="185"/>
      <c r="J65" s="186"/>
      <c r="K65" s="166"/>
      <c r="L65" s="166"/>
      <c r="M65" s="166"/>
      <c r="N65" s="185"/>
      <c r="O65" s="184"/>
      <c r="P65" s="185"/>
      <c r="Q65" s="186"/>
      <c r="R65" s="186"/>
      <c r="S65" s="185"/>
      <c r="T65" s="201"/>
      <c r="U65" s="134"/>
    </row>
    <row r="66" spans="1:21" ht="19.5" customHeight="1">
      <c r="A66" s="226"/>
      <c r="B66" s="647" t="s">
        <v>303</v>
      </c>
      <c r="C66" s="647"/>
      <c r="D66" s="647"/>
      <c r="E66" s="647"/>
      <c r="F66" s="647"/>
      <c r="G66" s="647"/>
      <c r="H66" s="647"/>
      <c r="I66" s="647"/>
      <c r="J66" s="647"/>
      <c r="K66" s="647"/>
      <c r="L66" s="647"/>
      <c r="M66" s="647"/>
      <c r="N66" s="647"/>
      <c r="O66" s="647"/>
      <c r="P66" s="647"/>
      <c r="Q66" s="647"/>
      <c r="R66" s="647"/>
      <c r="S66" s="647"/>
      <c r="T66" s="647"/>
      <c r="U66" s="134"/>
    </row>
    <row r="67" spans="2:21" ht="15">
      <c r="B67" s="138"/>
      <c r="C67" s="210"/>
      <c r="D67" s="203"/>
      <c r="E67" s="203"/>
      <c r="F67" s="204"/>
      <c r="G67" s="205"/>
      <c r="H67" s="203"/>
      <c r="I67" s="203"/>
      <c r="J67" s="203"/>
      <c r="K67" s="203"/>
      <c r="L67" s="166"/>
      <c r="M67" s="210"/>
      <c r="N67" s="166"/>
      <c r="O67" s="166"/>
      <c r="P67" s="167"/>
      <c r="Q67" s="166"/>
      <c r="R67" s="166"/>
      <c r="S67" s="166"/>
      <c r="T67" s="202"/>
      <c r="U67" s="126"/>
    </row>
    <row r="68" spans="1:21" ht="15">
      <c r="A68" s="219" t="s">
        <v>41</v>
      </c>
      <c r="N68" s="134"/>
      <c r="O68" s="134"/>
      <c r="P68" s="220"/>
      <c r="Q68" s="134"/>
      <c r="R68" s="171"/>
      <c r="S68" s="134"/>
      <c r="T68" s="221"/>
      <c r="U68" s="126"/>
    </row>
    <row r="69" spans="14:21" ht="15">
      <c r="N69" s="134"/>
      <c r="O69" s="134"/>
      <c r="P69" s="171"/>
      <c r="Q69" s="134"/>
      <c r="R69" s="171"/>
      <c r="S69" s="134"/>
      <c r="T69" s="221"/>
      <c r="U69" s="126"/>
    </row>
    <row r="70" spans="14:35" ht="15">
      <c r="N70" s="171"/>
      <c r="O70" s="134"/>
      <c r="P70" s="171"/>
      <c r="Q70" s="134"/>
      <c r="R70" s="180"/>
      <c r="S70" s="134"/>
      <c r="T70" s="222"/>
      <c r="U70" s="126"/>
      <c r="AH70" s="222"/>
      <c r="AI70" s="126"/>
    </row>
    <row r="71" spans="2:21" ht="12.75">
      <c r="B71" s="126"/>
      <c r="C71" s="141"/>
      <c r="D71" s="141"/>
      <c r="E71" s="141"/>
      <c r="F71" s="223"/>
      <c r="G71" s="224"/>
      <c r="H71" s="141"/>
      <c r="I71" s="141"/>
      <c r="J71" s="141"/>
      <c r="K71" s="141"/>
      <c r="L71" s="134"/>
      <c r="O71" s="134"/>
      <c r="U71" s="126"/>
    </row>
    <row r="72" spans="2:21" ht="12.75">
      <c r="B72" s="126"/>
      <c r="C72" s="126"/>
      <c r="D72" s="126"/>
      <c r="E72" s="126"/>
      <c r="F72" s="126"/>
      <c r="G72" s="126"/>
      <c r="H72" s="126"/>
      <c r="I72" s="126"/>
      <c r="J72" s="126"/>
      <c r="K72" s="126"/>
      <c r="L72" s="134"/>
      <c r="O72" s="134"/>
      <c r="U72" s="126"/>
    </row>
    <row r="73" spans="2:21" ht="12.75">
      <c r="B73" s="126"/>
      <c r="C73" s="126"/>
      <c r="D73" s="126"/>
      <c r="E73" s="126"/>
      <c r="F73" s="126"/>
      <c r="G73" s="126"/>
      <c r="H73" s="126"/>
      <c r="I73" s="126"/>
      <c r="J73" s="126"/>
      <c r="K73" s="126"/>
      <c r="L73" s="134"/>
      <c r="U73" s="126"/>
    </row>
    <row r="74" spans="2:21" ht="12.75">
      <c r="B74" s="126"/>
      <c r="C74" s="126"/>
      <c r="D74" s="126"/>
      <c r="E74" s="126"/>
      <c r="F74" s="126"/>
      <c r="G74" s="126"/>
      <c r="H74" s="126"/>
      <c r="I74" s="126"/>
      <c r="J74" s="126"/>
      <c r="K74" s="126"/>
      <c r="L74" s="134"/>
      <c r="O74" s="134"/>
      <c r="U74" s="126"/>
    </row>
    <row r="75" spans="2:21" ht="12.75">
      <c r="B75" s="126"/>
      <c r="C75" s="126"/>
      <c r="D75" s="126"/>
      <c r="E75" s="126"/>
      <c r="F75" s="126"/>
      <c r="G75" s="126"/>
      <c r="H75" s="126"/>
      <c r="I75" s="126"/>
      <c r="J75" s="126"/>
      <c r="K75" s="126"/>
      <c r="L75" s="126"/>
      <c r="O75" s="126"/>
      <c r="U75" s="126"/>
    </row>
    <row r="76" spans="2:21" ht="14.25">
      <c r="B76" s="126"/>
      <c r="C76" s="126"/>
      <c r="D76" s="126"/>
      <c r="E76" s="126"/>
      <c r="F76" s="126"/>
      <c r="G76" s="126"/>
      <c r="H76" s="126"/>
      <c r="I76" s="126"/>
      <c r="J76" s="126"/>
      <c r="K76" s="126"/>
      <c r="L76" s="126"/>
      <c r="M76" s="126"/>
      <c r="N76" s="186"/>
      <c r="O76" s="126"/>
      <c r="P76" s="185"/>
      <c r="Q76" s="126"/>
      <c r="R76" s="185"/>
      <c r="S76" s="126"/>
      <c r="T76" s="157"/>
      <c r="U76" s="126"/>
    </row>
    <row r="77" spans="2:21" ht="14.25">
      <c r="B77" s="126"/>
      <c r="C77" s="126"/>
      <c r="D77" s="126"/>
      <c r="E77" s="126"/>
      <c r="F77" s="126"/>
      <c r="G77" s="126"/>
      <c r="H77" s="126"/>
      <c r="I77" s="126"/>
      <c r="J77" s="126"/>
      <c r="K77" s="126"/>
      <c r="L77" s="126"/>
      <c r="M77" s="126"/>
      <c r="N77" s="186"/>
      <c r="O77" s="126"/>
      <c r="P77" s="185"/>
      <c r="Q77" s="126"/>
      <c r="R77" s="185"/>
      <c r="S77" s="126"/>
      <c r="T77" s="157"/>
      <c r="U77" s="126"/>
    </row>
    <row r="78" spans="2:21" ht="14.25">
      <c r="B78" s="126"/>
      <c r="C78" s="126"/>
      <c r="D78" s="126"/>
      <c r="E78" s="126"/>
      <c r="F78" s="126"/>
      <c r="G78" s="126"/>
      <c r="H78" s="126"/>
      <c r="I78" s="126"/>
      <c r="J78" s="126"/>
      <c r="K78" s="126"/>
      <c r="L78" s="126"/>
      <c r="M78" s="126"/>
      <c r="N78" s="186"/>
      <c r="O78" s="126"/>
      <c r="P78" s="185"/>
      <c r="Q78" s="126"/>
      <c r="R78" s="185"/>
      <c r="S78" s="126"/>
      <c r="T78" s="157"/>
      <c r="U78" s="126"/>
    </row>
    <row r="79" spans="14:18" ht="14.25">
      <c r="N79" s="186"/>
      <c r="P79" s="185"/>
      <c r="R79" s="185"/>
    </row>
    <row r="80" spans="14:16" ht="14.25">
      <c r="N80" s="186"/>
      <c r="P80" s="185"/>
    </row>
    <row r="81" spans="14:16" ht="14.25">
      <c r="N81" s="186"/>
      <c r="P81" s="185"/>
    </row>
    <row r="82" spans="14:16" ht="15">
      <c r="N82" s="186"/>
      <c r="P82" s="225"/>
    </row>
    <row r="83" ht="14.25">
      <c r="N83" s="186"/>
    </row>
    <row r="84" ht="12.75">
      <c r="N84" s="226"/>
    </row>
    <row r="85" ht="12.75">
      <c r="N85" s="226"/>
    </row>
    <row r="86" ht="12.75">
      <c r="N86" s="226"/>
    </row>
    <row r="87" ht="12.75">
      <c r="N87" s="226"/>
    </row>
    <row r="88" ht="12.75">
      <c r="N88" s="226"/>
    </row>
  </sheetData>
  <mergeCells count="1">
    <mergeCell ref="B66:T66"/>
  </mergeCells>
  <printOptions horizontalCentered="1"/>
  <pageMargins left="0.3" right="0.18" top="0.4" bottom="0.6" header="0" footer="0.3"/>
  <pageSetup fitToHeight="1" fitToWidth="1" horizontalDpi="600" verticalDpi="600" orientation="landscape" scale="53" r:id="rId2"/>
  <headerFooter alignWithMargins="0">
    <oddFooter>&amp;LCCI Supplementary Fiscal Q4/09 - May 20, 2009&amp;CPage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2"/>
  <sheetViews>
    <sheetView zoomScale="80" zoomScaleNormal="80" workbookViewId="0" topLeftCell="A1">
      <selection activeCell="B36" sqref="B36:L37"/>
    </sheetView>
  </sheetViews>
  <sheetFormatPr defaultColWidth="9.140625" defaultRowHeight="12.75"/>
  <cols>
    <col min="1" max="1" width="5.00390625" style="142" customWidth="1"/>
    <col min="2" max="2" width="2.7109375" style="143" customWidth="1"/>
    <col min="3" max="3" width="1.7109375" style="143" customWidth="1"/>
    <col min="4" max="11" width="23.28125" style="143" customWidth="1"/>
    <col min="12" max="12" width="26.00390625" style="143" customWidth="1"/>
    <col min="13" max="15" width="10.00390625" style="143" customWidth="1"/>
    <col min="16" max="17" width="23.28125" style="143" customWidth="1"/>
    <col min="18" max="18" width="20.57421875" style="143" bestFit="1" customWidth="1"/>
    <col min="19" max="19" width="16.00390625" style="143" customWidth="1"/>
    <col min="20" max="20" width="12.140625" style="143" customWidth="1"/>
    <col min="21" max="21" width="14.57421875" style="145" bestFit="1" customWidth="1"/>
    <col min="22" max="22" width="1.7109375" style="143" customWidth="1"/>
    <col min="23" max="23" width="2.7109375" style="143" customWidth="1"/>
    <col min="24" max="16384" width="9.140625" style="143" customWidth="1"/>
  </cols>
  <sheetData>
    <row r="1" ht="12.75"/>
    <row r="2" ht="20.25">
      <c r="E2" s="144"/>
    </row>
    <row r="3" ht="12.75"/>
    <row r="4" ht="12.75"/>
    <row r="5" spans="2:22" ht="15">
      <c r="B5" s="146" t="s">
        <v>82</v>
      </c>
      <c r="C5" s="126"/>
      <c r="D5" s="126"/>
      <c r="E5" s="126"/>
      <c r="F5" s="126"/>
      <c r="G5" s="126"/>
      <c r="H5" s="126"/>
      <c r="I5" s="126"/>
      <c r="J5" s="126"/>
      <c r="K5" s="126"/>
      <c r="L5" s="126"/>
      <c r="M5" s="134"/>
      <c r="V5" s="126"/>
    </row>
    <row r="6" spans="2:22" ht="15">
      <c r="B6" s="146" t="s">
        <v>83</v>
      </c>
      <c r="C6" s="126"/>
      <c r="D6" s="126"/>
      <c r="E6" s="126"/>
      <c r="F6" s="126"/>
      <c r="G6" s="126"/>
      <c r="H6" s="126"/>
      <c r="I6" s="126"/>
      <c r="J6" s="126"/>
      <c r="K6" s="126"/>
      <c r="L6" s="126"/>
      <c r="M6" s="134"/>
      <c r="P6" s="134"/>
      <c r="V6" s="126"/>
    </row>
    <row r="7" spans="3:22" ht="12.75">
      <c r="C7" s="126"/>
      <c r="D7" s="126"/>
      <c r="E7" s="126"/>
      <c r="F7" s="126"/>
      <c r="G7" s="126"/>
      <c r="H7" s="126"/>
      <c r="I7" s="126"/>
      <c r="J7" s="126"/>
      <c r="K7" s="126"/>
      <c r="L7" s="126"/>
      <c r="M7" s="126"/>
      <c r="P7" s="126"/>
      <c r="V7" s="126"/>
    </row>
    <row r="8" spans="1:35" ht="18" customHeight="1">
      <c r="A8" s="147">
        <v>-1</v>
      </c>
      <c r="B8" s="651" t="s">
        <v>84</v>
      </c>
      <c r="C8" s="652"/>
      <c r="D8" s="652"/>
      <c r="E8" s="652"/>
      <c r="F8" s="652"/>
      <c r="G8" s="652"/>
      <c r="H8" s="652"/>
      <c r="I8" s="652"/>
      <c r="J8" s="652"/>
      <c r="K8" s="652"/>
      <c r="L8" s="652"/>
      <c r="M8" s="110"/>
      <c r="N8" s="110"/>
      <c r="O8" s="110"/>
      <c r="P8" s="110"/>
      <c r="Q8" s="110"/>
      <c r="R8" s="110"/>
      <c r="S8" s="110"/>
      <c r="T8" s="110"/>
      <c r="U8" s="110"/>
      <c r="V8" s="110"/>
      <c r="W8" s="110"/>
      <c r="X8" s="110"/>
      <c r="Y8" s="110"/>
      <c r="Z8" s="110"/>
      <c r="AA8" s="110"/>
      <c r="AB8" s="110"/>
      <c r="AC8" s="110"/>
      <c r="AD8" s="110"/>
      <c r="AE8" s="110"/>
      <c r="AF8" s="110"/>
      <c r="AG8" s="110"/>
      <c r="AH8" s="110"/>
      <c r="AI8" s="110"/>
    </row>
    <row r="9" spans="1:35" ht="18" customHeight="1">
      <c r="A9" s="147">
        <v>-2</v>
      </c>
      <c r="B9" s="648" t="s">
        <v>85</v>
      </c>
      <c r="C9" s="649"/>
      <c r="D9" s="649"/>
      <c r="E9" s="649"/>
      <c r="F9" s="649"/>
      <c r="G9" s="649"/>
      <c r="H9" s="649"/>
      <c r="I9" s="649"/>
      <c r="J9" s="649"/>
      <c r="K9" s="649"/>
      <c r="L9" s="649"/>
      <c r="M9" s="148"/>
      <c r="N9" s="148"/>
      <c r="O9" s="148"/>
      <c r="P9" s="148"/>
      <c r="Q9" s="148"/>
      <c r="R9" s="148"/>
      <c r="S9" s="148"/>
      <c r="T9" s="148"/>
      <c r="U9" s="148"/>
      <c r="V9" s="148"/>
      <c r="W9" s="148"/>
      <c r="X9" s="148"/>
      <c r="Y9" s="148"/>
      <c r="Z9" s="148"/>
      <c r="AA9" s="148"/>
      <c r="AB9" s="148"/>
      <c r="AC9" s="148"/>
      <c r="AD9" s="148"/>
      <c r="AE9" s="148"/>
      <c r="AF9" s="148"/>
      <c r="AG9" s="148"/>
      <c r="AH9" s="148"/>
      <c r="AI9" s="149"/>
    </row>
    <row r="10" spans="1:35" ht="18" customHeight="1">
      <c r="A10" s="147"/>
      <c r="B10" s="648" t="s">
        <v>251</v>
      </c>
      <c r="C10" s="649"/>
      <c r="D10" s="649"/>
      <c r="E10" s="649"/>
      <c r="F10" s="649"/>
      <c r="G10" s="649"/>
      <c r="H10" s="649"/>
      <c r="I10" s="649"/>
      <c r="J10" s="649"/>
      <c r="K10" s="649"/>
      <c r="L10" s="649"/>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9"/>
    </row>
    <row r="11" spans="1:35" ht="18" customHeight="1">
      <c r="A11" s="147">
        <v>-3</v>
      </c>
      <c r="B11" s="648" t="s">
        <v>86</v>
      </c>
      <c r="C11" s="649"/>
      <c r="D11" s="649"/>
      <c r="E11" s="649"/>
      <c r="F11" s="649"/>
      <c r="G11" s="649"/>
      <c r="H11" s="649"/>
      <c r="I11" s="649"/>
      <c r="J11" s="649"/>
      <c r="K11" s="649"/>
      <c r="L11" s="649"/>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1"/>
    </row>
    <row r="12" spans="1:35" ht="18" customHeight="1">
      <c r="A12" s="147">
        <v>-4</v>
      </c>
      <c r="B12" s="648" t="s">
        <v>252</v>
      </c>
      <c r="C12" s="649"/>
      <c r="D12" s="649"/>
      <c r="E12" s="649"/>
      <c r="F12" s="649"/>
      <c r="G12" s="649"/>
      <c r="H12" s="649"/>
      <c r="I12" s="649"/>
      <c r="J12" s="649"/>
      <c r="K12" s="649"/>
      <c r="L12" s="649"/>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row>
    <row r="13" spans="1:35" ht="18" customHeight="1">
      <c r="A13" s="147">
        <v>-5</v>
      </c>
      <c r="B13" s="648" t="s">
        <v>87</v>
      </c>
      <c r="C13" s="649"/>
      <c r="D13" s="649"/>
      <c r="E13" s="649"/>
      <c r="F13" s="649"/>
      <c r="G13" s="649"/>
      <c r="H13" s="649"/>
      <c r="I13" s="649"/>
      <c r="J13" s="649"/>
      <c r="K13" s="649"/>
      <c r="L13" s="649"/>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row>
    <row r="14" spans="1:35" ht="18" customHeight="1">
      <c r="A14" s="147">
        <v>-6</v>
      </c>
      <c r="B14" s="648" t="s">
        <v>88</v>
      </c>
      <c r="C14" s="649"/>
      <c r="D14" s="649"/>
      <c r="E14" s="649"/>
      <c r="F14" s="649"/>
      <c r="G14" s="649"/>
      <c r="H14" s="649"/>
      <c r="I14" s="649"/>
      <c r="J14" s="649"/>
      <c r="K14" s="649"/>
      <c r="L14" s="649"/>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row>
    <row r="15" spans="1:35" ht="18" customHeight="1">
      <c r="A15" s="147">
        <v>-7</v>
      </c>
      <c r="B15" s="648" t="s">
        <v>89</v>
      </c>
      <c r="C15" s="649"/>
      <c r="D15" s="649"/>
      <c r="E15" s="649"/>
      <c r="F15" s="649"/>
      <c r="G15" s="649"/>
      <c r="H15" s="649"/>
      <c r="I15" s="649"/>
      <c r="J15" s="649"/>
      <c r="K15" s="649"/>
      <c r="L15" s="649"/>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row>
    <row r="16" spans="1:35" ht="18" customHeight="1">
      <c r="A16" s="147">
        <v>-8</v>
      </c>
      <c r="B16" s="648" t="s">
        <v>90</v>
      </c>
      <c r="C16" s="649"/>
      <c r="D16" s="649"/>
      <c r="E16" s="649"/>
      <c r="F16" s="649"/>
      <c r="G16" s="649"/>
      <c r="H16" s="649"/>
      <c r="I16" s="649"/>
      <c r="J16" s="649"/>
      <c r="K16" s="649"/>
      <c r="L16" s="649"/>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row>
    <row r="17" spans="1:35" ht="18" customHeight="1">
      <c r="A17" s="147">
        <v>-9</v>
      </c>
      <c r="B17" s="648" t="s">
        <v>91</v>
      </c>
      <c r="C17" s="649"/>
      <c r="D17" s="649"/>
      <c r="E17" s="649"/>
      <c r="F17" s="649"/>
      <c r="G17" s="649"/>
      <c r="H17" s="649"/>
      <c r="I17" s="649"/>
      <c r="J17" s="649"/>
      <c r="K17" s="649"/>
      <c r="L17" s="649"/>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row>
    <row r="18" spans="1:35" ht="18" customHeight="1">
      <c r="A18" s="147">
        <v>-10</v>
      </c>
      <c r="B18" s="648" t="s">
        <v>92</v>
      </c>
      <c r="C18" s="649"/>
      <c r="D18" s="649"/>
      <c r="E18" s="649"/>
      <c r="F18" s="649"/>
      <c r="G18" s="649"/>
      <c r="H18" s="649"/>
      <c r="I18" s="649"/>
      <c r="J18" s="649"/>
      <c r="K18" s="649"/>
      <c r="L18" s="649"/>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row>
    <row r="19" spans="1:35" ht="18" customHeight="1">
      <c r="A19" s="147"/>
      <c r="B19" s="648" t="s">
        <v>93</v>
      </c>
      <c r="C19" s="649"/>
      <c r="D19" s="649"/>
      <c r="E19" s="649"/>
      <c r="F19" s="649"/>
      <c r="G19" s="649"/>
      <c r="H19" s="649"/>
      <c r="I19" s="649"/>
      <c r="J19" s="649"/>
      <c r="K19" s="649"/>
      <c r="L19" s="649"/>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row>
    <row r="20" spans="1:35" ht="18" customHeight="1">
      <c r="A20" s="147">
        <v>-11</v>
      </c>
      <c r="B20" s="648" t="s">
        <v>94</v>
      </c>
      <c r="C20" s="649"/>
      <c r="D20" s="649"/>
      <c r="E20" s="649"/>
      <c r="F20" s="649"/>
      <c r="G20" s="649"/>
      <c r="H20" s="649"/>
      <c r="I20" s="649"/>
      <c r="J20" s="649"/>
      <c r="K20" s="649"/>
      <c r="L20" s="649"/>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row>
    <row r="21" spans="1:35" ht="18" customHeight="1">
      <c r="A21" s="147">
        <v>-12</v>
      </c>
      <c r="B21" s="648" t="s">
        <v>95</v>
      </c>
      <c r="C21" s="649"/>
      <c r="D21" s="649"/>
      <c r="E21" s="649"/>
      <c r="F21" s="649"/>
      <c r="G21" s="649"/>
      <c r="H21" s="649"/>
      <c r="I21" s="649"/>
      <c r="J21" s="649"/>
      <c r="K21" s="649"/>
      <c r="L21" s="649"/>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row>
    <row r="22" spans="1:35" ht="18" customHeight="1">
      <c r="A22" s="147">
        <v>-13</v>
      </c>
      <c r="B22" s="648" t="s">
        <v>96</v>
      </c>
      <c r="C22" s="649"/>
      <c r="D22" s="649"/>
      <c r="E22" s="649"/>
      <c r="F22" s="649"/>
      <c r="G22" s="649"/>
      <c r="H22" s="649"/>
      <c r="I22" s="649"/>
      <c r="J22" s="649"/>
      <c r="K22" s="649"/>
      <c r="L22" s="649"/>
      <c r="M22" s="650"/>
      <c r="N22" s="613"/>
      <c r="O22" s="613"/>
      <c r="P22" s="613"/>
      <c r="Q22" s="613"/>
      <c r="R22" s="613"/>
      <c r="S22" s="613"/>
      <c r="T22" s="613"/>
      <c r="U22" s="613"/>
      <c r="V22" s="613"/>
      <c r="W22" s="613"/>
      <c r="X22" s="650"/>
      <c r="Y22" s="613"/>
      <c r="Z22" s="613"/>
      <c r="AA22" s="613"/>
      <c r="AB22" s="613"/>
      <c r="AC22" s="613"/>
      <c r="AD22" s="613"/>
      <c r="AE22" s="613"/>
      <c r="AF22" s="613"/>
      <c r="AG22" s="613"/>
      <c r="AH22" s="613"/>
      <c r="AI22" s="124"/>
    </row>
    <row r="23" spans="1:35" ht="18" customHeight="1">
      <c r="A23" s="147">
        <v>-14</v>
      </c>
      <c r="B23" s="648" t="s">
        <v>97</v>
      </c>
      <c r="C23" s="649"/>
      <c r="D23" s="649"/>
      <c r="E23" s="649"/>
      <c r="F23" s="649"/>
      <c r="G23" s="649"/>
      <c r="H23" s="649"/>
      <c r="I23" s="649"/>
      <c r="J23" s="649"/>
      <c r="K23" s="649"/>
      <c r="L23" s="649"/>
      <c r="M23" s="650"/>
      <c r="N23" s="613"/>
      <c r="O23" s="613"/>
      <c r="P23" s="613"/>
      <c r="Q23" s="613"/>
      <c r="R23" s="613"/>
      <c r="S23" s="613"/>
      <c r="T23" s="613"/>
      <c r="U23" s="613"/>
      <c r="V23" s="613"/>
      <c r="W23" s="613"/>
      <c r="X23" s="650"/>
      <c r="Y23" s="613"/>
      <c r="Z23" s="613"/>
      <c r="AA23" s="613"/>
      <c r="AB23" s="613"/>
      <c r="AC23" s="613"/>
      <c r="AD23" s="613"/>
      <c r="AE23" s="613"/>
      <c r="AF23" s="613"/>
      <c r="AG23" s="613"/>
      <c r="AH23" s="613"/>
      <c r="AI23" s="124"/>
    </row>
    <row r="24" spans="1:35" ht="18" customHeight="1">
      <c r="A24" s="147">
        <v>-15</v>
      </c>
      <c r="B24" s="648" t="s">
        <v>282</v>
      </c>
      <c r="C24" s="648"/>
      <c r="D24" s="648"/>
      <c r="E24" s="648"/>
      <c r="F24" s="648"/>
      <c r="G24" s="648"/>
      <c r="H24" s="648"/>
      <c r="I24" s="648"/>
      <c r="J24" s="648"/>
      <c r="K24" s="648"/>
      <c r="L24" s="648"/>
      <c r="M24" s="650"/>
      <c r="N24" s="613"/>
      <c r="O24" s="613"/>
      <c r="P24" s="613"/>
      <c r="Q24" s="613"/>
      <c r="R24" s="613"/>
      <c r="S24" s="613"/>
      <c r="T24" s="613"/>
      <c r="U24" s="613"/>
      <c r="V24" s="613"/>
      <c r="W24" s="613"/>
      <c r="X24" s="650"/>
      <c r="Y24" s="613"/>
      <c r="Z24" s="613"/>
      <c r="AA24" s="613"/>
      <c r="AB24" s="613"/>
      <c r="AC24" s="613"/>
      <c r="AD24" s="613"/>
      <c r="AE24" s="613"/>
      <c r="AF24" s="613"/>
      <c r="AG24" s="613"/>
      <c r="AH24" s="613"/>
      <c r="AI24" s="124"/>
    </row>
    <row r="25" spans="1:35" ht="18" customHeight="1">
      <c r="A25" s="147">
        <v>-16</v>
      </c>
      <c r="B25" s="648" t="s">
        <v>98</v>
      </c>
      <c r="C25" s="649"/>
      <c r="D25" s="649"/>
      <c r="E25" s="649"/>
      <c r="F25" s="649"/>
      <c r="G25" s="649"/>
      <c r="H25" s="649"/>
      <c r="I25" s="649"/>
      <c r="J25" s="649"/>
      <c r="K25" s="649"/>
      <c r="L25" s="649"/>
      <c r="M25" s="650"/>
      <c r="N25" s="613"/>
      <c r="O25" s="613"/>
      <c r="P25" s="613"/>
      <c r="Q25" s="613"/>
      <c r="R25" s="613"/>
      <c r="S25" s="613"/>
      <c r="T25" s="613"/>
      <c r="U25" s="613"/>
      <c r="V25" s="613"/>
      <c r="W25" s="613"/>
      <c r="X25" s="650"/>
      <c r="Y25" s="613"/>
      <c r="Z25" s="613"/>
      <c r="AA25" s="613"/>
      <c r="AB25" s="613"/>
      <c r="AC25" s="613"/>
      <c r="AD25" s="613"/>
      <c r="AE25" s="613"/>
      <c r="AF25" s="613"/>
      <c r="AG25" s="613"/>
      <c r="AH25" s="613"/>
      <c r="AI25" s="124"/>
    </row>
    <row r="26" spans="1:35" ht="18" customHeight="1">
      <c r="A26" s="147"/>
      <c r="B26" s="648" t="s">
        <v>99</v>
      </c>
      <c r="C26" s="649"/>
      <c r="D26" s="649"/>
      <c r="E26" s="649"/>
      <c r="F26" s="649"/>
      <c r="G26" s="649"/>
      <c r="H26" s="649"/>
      <c r="I26" s="649"/>
      <c r="J26" s="649"/>
      <c r="K26" s="649"/>
      <c r="L26" s="649"/>
      <c r="M26" s="124"/>
      <c r="N26" s="103"/>
      <c r="O26" s="103"/>
      <c r="P26" s="103"/>
      <c r="Q26" s="103"/>
      <c r="R26" s="103"/>
      <c r="S26" s="103"/>
      <c r="T26" s="103"/>
      <c r="U26" s="103"/>
      <c r="V26" s="103"/>
      <c r="W26" s="103"/>
      <c r="X26" s="124"/>
      <c r="Y26" s="103"/>
      <c r="Z26" s="103"/>
      <c r="AA26" s="103"/>
      <c r="AB26" s="103"/>
      <c r="AC26" s="103"/>
      <c r="AD26" s="103"/>
      <c r="AE26" s="103"/>
      <c r="AF26" s="103"/>
      <c r="AG26" s="103"/>
      <c r="AH26" s="103"/>
      <c r="AI26" s="124"/>
    </row>
    <row r="27" spans="1:35" ht="18" customHeight="1">
      <c r="A27" s="147">
        <v>-17</v>
      </c>
      <c r="B27" s="648" t="s">
        <v>100</v>
      </c>
      <c r="C27" s="649"/>
      <c r="D27" s="649"/>
      <c r="E27" s="649"/>
      <c r="F27" s="649"/>
      <c r="G27" s="649"/>
      <c r="H27" s="649"/>
      <c r="I27" s="649"/>
      <c r="J27" s="649"/>
      <c r="K27" s="649"/>
      <c r="L27" s="649"/>
      <c r="M27" s="650"/>
      <c r="N27" s="613"/>
      <c r="O27" s="613"/>
      <c r="P27" s="613"/>
      <c r="Q27" s="613"/>
      <c r="R27" s="613"/>
      <c r="S27" s="613"/>
      <c r="T27" s="613"/>
      <c r="U27" s="613"/>
      <c r="V27" s="613"/>
      <c r="W27" s="613"/>
      <c r="X27" s="650"/>
      <c r="Y27" s="613"/>
      <c r="Z27" s="613"/>
      <c r="AA27" s="613"/>
      <c r="AB27" s="613"/>
      <c r="AC27" s="613"/>
      <c r="AD27" s="613"/>
      <c r="AE27" s="613"/>
      <c r="AF27" s="613"/>
      <c r="AG27" s="613"/>
      <c r="AH27" s="613"/>
      <c r="AI27" s="124"/>
    </row>
    <row r="28" spans="1:37" ht="18" customHeight="1">
      <c r="A28" s="147">
        <v>-18</v>
      </c>
      <c r="B28" s="648" t="s">
        <v>101</v>
      </c>
      <c r="C28" s="649"/>
      <c r="D28" s="649"/>
      <c r="E28" s="649"/>
      <c r="F28" s="649"/>
      <c r="G28" s="649"/>
      <c r="H28" s="649"/>
      <c r="I28" s="649"/>
      <c r="J28" s="649"/>
      <c r="K28" s="649"/>
      <c r="L28" s="649"/>
      <c r="M28" s="650"/>
      <c r="N28" s="613"/>
      <c r="O28" s="613"/>
      <c r="P28" s="613"/>
      <c r="Q28" s="613"/>
      <c r="R28" s="613"/>
      <c r="S28" s="613"/>
      <c r="T28" s="613"/>
      <c r="U28" s="613"/>
      <c r="V28" s="613"/>
      <c r="W28" s="613"/>
      <c r="X28" s="650"/>
      <c r="Y28" s="613"/>
      <c r="Z28" s="613"/>
      <c r="AA28" s="613"/>
      <c r="AB28" s="613"/>
      <c r="AC28" s="613"/>
      <c r="AD28" s="613"/>
      <c r="AE28" s="613"/>
      <c r="AF28" s="613"/>
      <c r="AG28" s="613"/>
      <c r="AH28" s="613"/>
      <c r="AI28" s="650"/>
      <c r="AJ28" s="613"/>
      <c r="AK28" s="613"/>
    </row>
    <row r="29" spans="1:37" ht="18" customHeight="1">
      <c r="A29" s="147"/>
      <c r="B29" s="648" t="s">
        <v>102</v>
      </c>
      <c r="C29" s="649"/>
      <c r="D29" s="649"/>
      <c r="E29" s="649"/>
      <c r="F29" s="649"/>
      <c r="G29" s="649"/>
      <c r="H29" s="649"/>
      <c r="I29" s="649"/>
      <c r="J29" s="649"/>
      <c r="K29" s="649"/>
      <c r="L29" s="649"/>
      <c r="M29" s="124"/>
      <c r="N29" s="103"/>
      <c r="O29" s="103"/>
      <c r="P29" s="103"/>
      <c r="Q29" s="103"/>
      <c r="R29" s="103"/>
      <c r="S29" s="103"/>
      <c r="T29" s="103"/>
      <c r="U29" s="103"/>
      <c r="V29" s="103"/>
      <c r="W29" s="103"/>
      <c r="X29" s="124"/>
      <c r="Y29" s="103"/>
      <c r="Z29" s="103"/>
      <c r="AA29" s="103"/>
      <c r="AB29" s="103"/>
      <c r="AC29" s="103"/>
      <c r="AD29" s="103"/>
      <c r="AE29" s="103"/>
      <c r="AF29" s="103"/>
      <c r="AG29" s="103"/>
      <c r="AH29" s="103"/>
      <c r="AI29" s="124"/>
      <c r="AJ29" s="103"/>
      <c r="AK29" s="103"/>
    </row>
    <row r="30" spans="1:37" ht="18" customHeight="1">
      <c r="A30" s="147">
        <v>-19</v>
      </c>
      <c r="B30" s="648" t="s">
        <v>103</v>
      </c>
      <c r="C30" s="649"/>
      <c r="D30" s="649"/>
      <c r="E30" s="649"/>
      <c r="F30" s="649"/>
      <c r="G30" s="649"/>
      <c r="H30" s="649"/>
      <c r="I30" s="649"/>
      <c r="J30" s="649"/>
      <c r="K30" s="649"/>
      <c r="L30" s="649"/>
      <c r="M30" s="650"/>
      <c r="N30" s="613"/>
      <c r="O30" s="613"/>
      <c r="P30" s="613"/>
      <c r="Q30" s="613"/>
      <c r="R30" s="613"/>
      <c r="S30" s="613"/>
      <c r="T30" s="613"/>
      <c r="U30" s="613"/>
      <c r="V30" s="613"/>
      <c r="W30" s="613"/>
      <c r="X30" s="650"/>
      <c r="Y30" s="613"/>
      <c r="Z30" s="613"/>
      <c r="AA30" s="613"/>
      <c r="AB30" s="613"/>
      <c r="AC30" s="613"/>
      <c r="AD30" s="613"/>
      <c r="AE30" s="613"/>
      <c r="AF30" s="613"/>
      <c r="AG30" s="613"/>
      <c r="AH30" s="613"/>
      <c r="AI30" s="650"/>
      <c r="AJ30" s="613"/>
      <c r="AK30" s="613"/>
    </row>
    <row r="31" spans="1:37" ht="18" customHeight="1">
      <c r="A31" s="147"/>
      <c r="B31" s="648" t="s">
        <v>104</v>
      </c>
      <c r="C31" s="649"/>
      <c r="D31" s="649"/>
      <c r="E31" s="649"/>
      <c r="F31" s="649"/>
      <c r="G31" s="649"/>
      <c r="H31" s="649"/>
      <c r="I31" s="649"/>
      <c r="J31" s="649"/>
      <c r="K31" s="649"/>
      <c r="L31" s="649"/>
      <c r="M31" s="124"/>
      <c r="N31" s="103"/>
      <c r="O31" s="103"/>
      <c r="P31" s="103"/>
      <c r="Q31" s="103"/>
      <c r="R31" s="103"/>
      <c r="S31" s="103"/>
      <c r="T31" s="103"/>
      <c r="U31" s="103"/>
      <c r="V31" s="103"/>
      <c r="W31" s="103"/>
      <c r="X31" s="124"/>
      <c r="Y31" s="103"/>
      <c r="Z31" s="103"/>
      <c r="AA31" s="103"/>
      <c r="AB31" s="103"/>
      <c r="AC31" s="103"/>
      <c r="AD31" s="103"/>
      <c r="AE31" s="103"/>
      <c r="AF31" s="103"/>
      <c r="AG31" s="103"/>
      <c r="AH31" s="103"/>
      <c r="AI31" s="124"/>
      <c r="AJ31" s="103"/>
      <c r="AK31" s="103"/>
    </row>
    <row r="32" spans="1:37" ht="18" customHeight="1">
      <c r="A32" s="147">
        <v>-20</v>
      </c>
      <c r="B32" s="648" t="s">
        <v>105</v>
      </c>
      <c r="C32" s="649"/>
      <c r="D32" s="649"/>
      <c r="E32" s="649"/>
      <c r="F32" s="649"/>
      <c r="G32" s="649"/>
      <c r="H32" s="649"/>
      <c r="I32" s="649"/>
      <c r="J32" s="649"/>
      <c r="K32" s="649"/>
      <c r="L32" s="649"/>
      <c r="M32" s="650"/>
      <c r="N32" s="613"/>
      <c r="O32" s="613"/>
      <c r="P32" s="613"/>
      <c r="Q32" s="613"/>
      <c r="R32" s="613"/>
      <c r="S32" s="613"/>
      <c r="T32" s="613"/>
      <c r="U32" s="613"/>
      <c r="V32" s="613"/>
      <c r="W32" s="613"/>
      <c r="X32" s="650"/>
      <c r="Y32" s="613"/>
      <c r="Z32" s="613"/>
      <c r="AA32" s="613"/>
      <c r="AB32" s="613"/>
      <c r="AC32" s="613"/>
      <c r="AD32" s="613"/>
      <c r="AE32" s="613"/>
      <c r="AF32" s="613"/>
      <c r="AG32" s="613"/>
      <c r="AH32" s="613"/>
      <c r="AK32" s="143">
        <f>AJ32</f>
        <v>0</v>
      </c>
    </row>
    <row r="33" spans="1:34" ht="18" customHeight="1">
      <c r="A33" s="147"/>
      <c r="B33" s="648" t="s">
        <v>106</v>
      </c>
      <c r="C33" s="649"/>
      <c r="D33" s="649"/>
      <c r="E33" s="649"/>
      <c r="F33" s="649"/>
      <c r="G33" s="649"/>
      <c r="H33" s="649"/>
      <c r="I33" s="649"/>
      <c r="J33" s="649"/>
      <c r="K33" s="649"/>
      <c r="L33" s="649"/>
      <c r="M33" s="124"/>
      <c r="N33" s="103"/>
      <c r="O33" s="103"/>
      <c r="P33" s="103"/>
      <c r="Q33" s="103"/>
      <c r="R33" s="103"/>
      <c r="S33" s="103"/>
      <c r="T33" s="103"/>
      <c r="U33" s="103"/>
      <c r="V33" s="103"/>
      <c r="W33" s="103"/>
      <c r="X33" s="124"/>
      <c r="Y33" s="103"/>
      <c r="Z33" s="103"/>
      <c r="AA33" s="103"/>
      <c r="AB33" s="103"/>
      <c r="AC33" s="103"/>
      <c r="AD33" s="103"/>
      <c r="AE33" s="103"/>
      <c r="AF33" s="103"/>
      <c r="AG33" s="103"/>
      <c r="AH33" s="103"/>
    </row>
    <row r="34" spans="1:35" ht="18" customHeight="1">
      <c r="A34" s="147">
        <v>-21</v>
      </c>
      <c r="B34" s="648" t="s">
        <v>107</v>
      </c>
      <c r="C34" s="649"/>
      <c r="D34" s="649"/>
      <c r="E34" s="649"/>
      <c r="F34" s="649"/>
      <c r="G34" s="649"/>
      <c r="H34" s="649"/>
      <c r="I34" s="649"/>
      <c r="J34" s="649"/>
      <c r="K34" s="649"/>
      <c r="L34" s="649"/>
      <c r="M34" s="650"/>
      <c r="N34" s="613"/>
      <c r="O34" s="613"/>
      <c r="P34" s="613"/>
      <c r="Q34" s="613"/>
      <c r="R34" s="613"/>
      <c r="S34" s="613"/>
      <c r="T34" s="613"/>
      <c r="U34" s="613"/>
      <c r="V34" s="613"/>
      <c r="W34" s="613"/>
      <c r="X34" s="650"/>
      <c r="Y34" s="613"/>
      <c r="Z34" s="613"/>
      <c r="AA34" s="613"/>
      <c r="AB34" s="613"/>
      <c r="AC34" s="613"/>
      <c r="AD34" s="613"/>
      <c r="AE34" s="613"/>
      <c r="AF34" s="613"/>
      <c r="AG34" s="613"/>
      <c r="AH34" s="613"/>
      <c r="AI34" s="124"/>
    </row>
    <row r="35" spans="1:35" ht="18" customHeight="1">
      <c r="A35" s="147"/>
      <c r="B35" s="648" t="s">
        <v>108</v>
      </c>
      <c r="C35" s="649"/>
      <c r="D35" s="649"/>
      <c r="E35" s="649"/>
      <c r="F35" s="649"/>
      <c r="G35" s="649"/>
      <c r="H35" s="649"/>
      <c r="I35" s="649"/>
      <c r="J35" s="649"/>
      <c r="K35" s="649"/>
      <c r="L35" s="649"/>
      <c r="M35" s="124"/>
      <c r="N35" s="103"/>
      <c r="O35" s="103"/>
      <c r="P35" s="103"/>
      <c r="Q35" s="103"/>
      <c r="R35" s="103"/>
      <c r="S35" s="103"/>
      <c r="T35" s="103"/>
      <c r="U35" s="103"/>
      <c r="V35" s="103"/>
      <c r="W35" s="103"/>
      <c r="X35" s="124"/>
      <c r="Y35" s="103"/>
      <c r="Z35" s="103"/>
      <c r="AA35" s="103"/>
      <c r="AB35" s="103"/>
      <c r="AC35" s="103"/>
      <c r="AD35" s="103"/>
      <c r="AE35" s="103"/>
      <c r="AF35" s="103"/>
      <c r="AG35" s="103"/>
      <c r="AH35" s="103"/>
      <c r="AI35" s="124"/>
    </row>
    <row r="36" spans="1:35" ht="18" customHeight="1">
      <c r="A36" s="147">
        <v>-22</v>
      </c>
      <c r="B36" s="648" t="s">
        <v>109</v>
      </c>
      <c r="C36" s="649"/>
      <c r="D36" s="649"/>
      <c r="E36" s="649"/>
      <c r="F36" s="649"/>
      <c r="G36" s="649"/>
      <c r="H36" s="649"/>
      <c r="I36" s="649"/>
      <c r="J36" s="649"/>
      <c r="K36" s="649"/>
      <c r="L36" s="649"/>
      <c r="M36" s="650"/>
      <c r="N36" s="613"/>
      <c r="O36" s="613"/>
      <c r="P36" s="613"/>
      <c r="Q36" s="613"/>
      <c r="R36" s="613"/>
      <c r="S36" s="613"/>
      <c r="T36" s="613"/>
      <c r="U36" s="613"/>
      <c r="V36" s="613"/>
      <c r="W36" s="613"/>
      <c r="X36" s="650"/>
      <c r="Y36" s="613"/>
      <c r="Z36" s="613"/>
      <c r="AA36" s="613"/>
      <c r="AB36" s="613"/>
      <c r="AC36" s="613"/>
      <c r="AD36" s="613"/>
      <c r="AE36" s="613"/>
      <c r="AF36" s="613"/>
      <c r="AG36" s="613"/>
      <c r="AH36" s="613"/>
      <c r="AI36" s="124"/>
    </row>
    <row r="37" spans="1:34" ht="18" customHeight="1">
      <c r="A37" s="147">
        <v>-23</v>
      </c>
      <c r="B37" s="648" t="s">
        <v>110</v>
      </c>
      <c r="C37" s="649"/>
      <c r="D37" s="649"/>
      <c r="E37" s="649"/>
      <c r="F37" s="649"/>
      <c r="G37" s="649"/>
      <c r="H37" s="649"/>
      <c r="I37" s="649"/>
      <c r="J37" s="649"/>
      <c r="K37" s="649"/>
      <c r="L37" s="649"/>
      <c r="M37" s="650"/>
      <c r="N37" s="613"/>
      <c r="O37" s="613"/>
      <c r="P37" s="613"/>
      <c r="Q37" s="613"/>
      <c r="R37" s="613"/>
      <c r="S37" s="613"/>
      <c r="T37" s="613"/>
      <c r="U37" s="613"/>
      <c r="V37" s="613"/>
      <c r="W37" s="613"/>
      <c r="X37" s="650"/>
      <c r="Y37" s="613"/>
      <c r="Z37" s="613"/>
      <c r="AA37" s="613"/>
      <c r="AB37" s="613"/>
      <c r="AC37" s="613"/>
      <c r="AD37" s="613"/>
      <c r="AE37" s="613"/>
      <c r="AF37" s="613"/>
      <c r="AG37" s="613"/>
      <c r="AH37" s="613"/>
    </row>
    <row r="38" spans="1:34" ht="18" customHeight="1">
      <c r="A38" s="147"/>
      <c r="B38" s="648" t="s">
        <v>111</v>
      </c>
      <c r="C38" s="649"/>
      <c r="D38" s="649"/>
      <c r="E38" s="649"/>
      <c r="F38" s="649"/>
      <c r="G38" s="649"/>
      <c r="H38" s="649"/>
      <c r="I38" s="649"/>
      <c r="J38" s="649"/>
      <c r="K38" s="649"/>
      <c r="L38" s="649"/>
      <c r="M38" s="124"/>
      <c r="N38" s="103"/>
      <c r="O38" s="103"/>
      <c r="P38" s="103"/>
      <c r="Q38" s="103"/>
      <c r="R38" s="103"/>
      <c r="S38" s="103"/>
      <c r="T38" s="103"/>
      <c r="U38" s="103"/>
      <c r="V38" s="103"/>
      <c r="W38" s="103"/>
      <c r="X38" s="124"/>
      <c r="Y38" s="103"/>
      <c r="Z38" s="103"/>
      <c r="AA38" s="103"/>
      <c r="AB38" s="103"/>
      <c r="AC38" s="103"/>
      <c r="AD38" s="103"/>
      <c r="AE38" s="103"/>
      <c r="AF38" s="103"/>
      <c r="AG38" s="103"/>
      <c r="AH38" s="103"/>
    </row>
    <row r="39" spans="1:13" ht="18" customHeight="1">
      <c r="A39" s="147">
        <v>-24</v>
      </c>
      <c r="B39" s="648" t="s">
        <v>112</v>
      </c>
      <c r="C39" s="649"/>
      <c r="D39" s="649"/>
      <c r="E39" s="649"/>
      <c r="F39" s="649"/>
      <c r="G39" s="649"/>
      <c r="H39" s="649"/>
      <c r="I39" s="649"/>
      <c r="J39" s="649"/>
      <c r="K39" s="649"/>
      <c r="L39" s="649"/>
      <c r="M39" s="124"/>
    </row>
    <row r="40" spans="1:13" ht="18" customHeight="1">
      <c r="A40" s="147">
        <v>-25</v>
      </c>
      <c r="B40" s="648" t="s">
        <v>113</v>
      </c>
      <c r="C40" s="649"/>
      <c r="D40" s="649" t="s">
        <v>56</v>
      </c>
      <c r="E40" s="649"/>
      <c r="F40" s="649"/>
      <c r="G40" s="649"/>
      <c r="H40" s="649"/>
      <c r="I40" s="649"/>
      <c r="J40" s="649"/>
      <c r="K40" s="649"/>
      <c r="L40" s="649"/>
      <c r="M40" s="124"/>
    </row>
    <row r="41" spans="1:13" ht="18" customHeight="1">
      <c r="A41" s="147">
        <v>-26</v>
      </c>
      <c r="B41" s="648" t="s">
        <v>114</v>
      </c>
      <c r="C41" s="649"/>
      <c r="D41" s="649" t="s">
        <v>56</v>
      </c>
      <c r="E41" s="649"/>
      <c r="F41" s="649"/>
      <c r="G41" s="649"/>
      <c r="H41" s="649"/>
      <c r="I41" s="649"/>
      <c r="J41" s="649"/>
      <c r="K41" s="649"/>
      <c r="L41" s="649"/>
      <c r="M41" s="124"/>
    </row>
    <row r="42" spans="1:12" ht="14.25">
      <c r="A42" s="147">
        <v>-27</v>
      </c>
      <c r="B42" s="648" t="s">
        <v>265</v>
      </c>
      <c r="C42" s="649"/>
      <c r="D42" s="649"/>
      <c r="E42" s="649"/>
      <c r="F42" s="649"/>
      <c r="G42" s="649"/>
      <c r="H42" s="649"/>
      <c r="I42" s="649"/>
      <c r="J42" s="649"/>
      <c r="K42" s="649"/>
      <c r="L42" s="649"/>
    </row>
  </sheetData>
  <mergeCells count="59">
    <mergeCell ref="AI28:AK28"/>
    <mergeCell ref="AI30:AK30"/>
    <mergeCell ref="M36:W36"/>
    <mergeCell ref="M32:W32"/>
    <mergeCell ref="X36:AH36"/>
    <mergeCell ref="X32:AH32"/>
    <mergeCell ref="M34:W34"/>
    <mergeCell ref="X34:AH34"/>
    <mergeCell ref="M24:W24"/>
    <mergeCell ref="X24:AH24"/>
    <mergeCell ref="M25:W25"/>
    <mergeCell ref="X25:AH25"/>
    <mergeCell ref="B37:L37"/>
    <mergeCell ref="B38:L38"/>
    <mergeCell ref="M37:W37"/>
    <mergeCell ref="X37:AH37"/>
    <mergeCell ref="X27:AH27"/>
    <mergeCell ref="X30:AH30"/>
    <mergeCell ref="B32:L32"/>
    <mergeCell ref="B28:L28"/>
    <mergeCell ref="B30:L30"/>
    <mergeCell ref="M28:W28"/>
    <mergeCell ref="M30:W30"/>
    <mergeCell ref="X28:AH28"/>
    <mergeCell ref="M27:W27"/>
    <mergeCell ref="B27:L27"/>
    <mergeCell ref="B8:L8"/>
    <mergeCell ref="B9:L9"/>
    <mergeCell ref="B11:L11"/>
    <mergeCell ref="B12:L12"/>
    <mergeCell ref="B10:L10"/>
    <mergeCell ref="B16:L16"/>
    <mergeCell ref="B17:L17"/>
    <mergeCell ref="B18:L18"/>
    <mergeCell ref="B20:L20"/>
    <mergeCell ref="X22:AH22"/>
    <mergeCell ref="M23:W23"/>
    <mergeCell ref="X23:AH23"/>
    <mergeCell ref="M22:W22"/>
    <mergeCell ref="B26:L26"/>
    <mergeCell ref="B19:L19"/>
    <mergeCell ref="B25:L25"/>
    <mergeCell ref="B13:L13"/>
    <mergeCell ref="B14:L14"/>
    <mergeCell ref="B15:L15"/>
    <mergeCell ref="B21:L21"/>
    <mergeCell ref="B22:L22"/>
    <mergeCell ref="B24:L24"/>
    <mergeCell ref="B23:L23"/>
    <mergeCell ref="B29:L29"/>
    <mergeCell ref="B42:L42"/>
    <mergeCell ref="B33:L33"/>
    <mergeCell ref="B35:L35"/>
    <mergeCell ref="B31:L31"/>
    <mergeCell ref="B34:L34"/>
    <mergeCell ref="B39:L39"/>
    <mergeCell ref="B40:L40"/>
    <mergeCell ref="B41:L41"/>
    <mergeCell ref="B36:L36"/>
  </mergeCells>
  <printOptions horizontalCentered="1"/>
  <pageMargins left="0.3" right="0.3" top="0.4" bottom="0.6" header="0" footer="0.3"/>
  <pageSetup fitToHeight="1" fitToWidth="1" horizontalDpi="600" verticalDpi="600" orientation="landscape" scale="61" r:id="rId2"/>
  <headerFooter alignWithMargins="0">
    <oddFooter>&amp;LCCI Supplementary Fiscal Q4/09 - May 20, 2009</oddFooter>
  </headerFooter>
  <drawing r:id="rId1"/>
</worksheet>
</file>

<file path=xl/worksheets/sheet2.xml><?xml version="1.0" encoding="utf-8"?>
<worksheet xmlns="http://schemas.openxmlformats.org/spreadsheetml/2006/main" xmlns:r="http://schemas.openxmlformats.org/officeDocument/2006/relationships">
  <dimension ref="A1:F28"/>
  <sheetViews>
    <sheetView zoomScale="85" zoomScaleNormal="85" workbookViewId="0" topLeftCell="A1">
      <selection activeCell="B36" sqref="B36:L37"/>
    </sheetView>
  </sheetViews>
  <sheetFormatPr defaultColWidth="9.140625" defaultRowHeight="12.75"/>
  <cols>
    <col min="1" max="1" width="7.28125" style="0" customWidth="1"/>
    <col min="2" max="2" width="35.421875" style="0" customWidth="1"/>
    <col min="3" max="3" width="80.7109375" style="0" customWidth="1"/>
    <col min="4" max="4" width="7.7109375" style="0" customWidth="1"/>
    <col min="5" max="5" width="7.57421875" style="0" customWidth="1"/>
    <col min="6" max="6" width="6.140625" style="0" customWidth="1"/>
    <col min="7" max="7" width="1.28515625" style="0" customWidth="1"/>
  </cols>
  <sheetData>
    <row r="1" spans="1:6" ht="15">
      <c r="A1" s="121"/>
      <c r="B1" s="121"/>
      <c r="C1" s="121"/>
      <c r="D1" s="121"/>
      <c r="E1" s="121"/>
      <c r="F1" s="121"/>
    </row>
    <row r="2" spans="1:6" ht="15">
      <c r="A2" s="121"/>
      <c r="B2" s="121"/>
      <c r="C2" s="121"/>
      <c r="D2" s="121"/>
      <c r="E2" s="121"/>
      <c r="F2" s="121"/>
    </row>
    <row r="3" spans="1:6" ht="15">
      <c r="A3" s="121"/>
      <c r="B3" s="121"/>
      <c r="C3" s="121"/>
      <c r="D3" s="121"/>
      <c r="E3" s="121"/>
      <c r="F3" s="121"/>
    </row>
    <row r="4" spans="1:6" ht="21" customHeight="1">
      <c r="A4" s="121"/>
      <c r="B4" s="121"/>
      <c r="C4" s="121"/>
      <c r="D4" s="121"/>
      <c r="E4" s="121"/>
      <c r="F4" s="121"/>
    </row>
    <row r="5" spans="1:6" ht="15">
      <c r="A5" s="126"/>
      <c r="B5" s="122" t="s">
        <v>64</v>
      </c>
      <c r="C5" s="123"/>
      <c r="D5" s="123"/>
      <c r="E5" s="125"/>
      <c r="F5" s="126"/>
    </row>
    <row r="6" spans="1:6" ht="16.5" customHeight="1">
      <c r="A6" s="126"/>
      <c r="B6" s="127"/>
      <c r="C6" s="128"/>
      <c r="D6" s="129" t="s">
        <v>65</v>
      </c>
      <c r="E6" s="130"/>
      <c r="F6" s="126"/>
    </row>
    <row r="7" spans="1:6" ht="16.5" customHeight="1">
      <c r="A7" s="126"/>
      <c r="B7" s="617" t="s">
        <v>66</v>
      </c>
      <c r="C7" s="618"/>
      <c r="D7" s="131">
        <v>1</v>
      </c>
      <c r="E7" s="132"/>
      <c r="F7" s="126"/>
    </row>
    <row r="8" spans="1:6" ht="16.5" customHeight="1">
      <c r="A8" s="126"/>
      <c r="B8" s="617" t="s">
        <v>67</v>
      </c>
      <c r="C8" s="618"/>
      <c r="D8" s="131">
        <v>2</v>
      </c>
      <c r="E8" s="132"/>
      <c r="F8" s="126"/>
    </row>
    <row r="9" spans="1:6" ht="16.5" customHeight="1">
      <c r="A9" s="126"/>
      <c r="B9" s="619" t="s">
        <v>68</v>
      </c>
      <c r="C9" s="620"/>
      <c r="D9" s="131">
        <v>3</v>
      </c>
      <c r="E9" s="132"/>
      <c r="F9" s="126"/>
    </row>
    <row r="10" spans="1:6" ht="16.5" customHeight="1">
      <c r="A10" s="126"/>
      <c r="B10" s="619" t="s">
        <v>69</v>
      </c>
      <c r="C10" s="620"/>
      <c r="D10" s="131">
        <v>4</v>
      </c>
      <c r="E10" s="132"/>
      <c r="F10" s="126"/>
    </row>
    <row r="11" spans="1:6" ht="16.5" customHeight="1">
      <c r="A11" s="126"/>
      <c r="B11" s="619" t="s">
        <v>70</v>
      </c>
      <c r="C11" s="620"/>
      <c r="D11" s="131">
        <v>5</v>
      </c>
      <c r="E11" s="132"/>
      <c r="F11" s="126"/>
    </row>
    <row r="12" spans="1:6" ht="16.5" customHeight="1">
      <c r="A12" s="126"/>
      <c r="B12" s="621" t="s">
        <v>71</v>
      </c>
      <c r="C12" s="620"/>
      <c r="D12" s="131">
        <v>6</v>
      </c>
      <c r="E12" s="133"/>
      <c r="F12" s="126"/>
    </row>
    <row r="13" spans="1:6" ht="16.5" customHeight="1">
      <c r="A13" s="126"/>
      <c r="B13" s="619" t="s">
        <v>72</v>
      </c>
      <c r="C13" s="620"/>
      <c r="D13" s="131">
        <v>7</v>
      </c>
      <c r="E13" s="132"/>
      <c r="F13" s="126"/>
    </row>
    <row r="14" spans="1:6" ht="16.5" customHeight="1">
      <c r="A14" s="126"/>
      <c r="B14" s="619" t="s">
        <v>73</v>
      </c>
      <c r="C14" s="620"/>
      <c r="D14" s="134">
        <v>8</v>
      </c>
      <c r="E14" s="132"/>
      <c r="F14" s="126"/>
    </row>
    <row r="15" spans="1:6" ht="16.5" customHeight="1">
      <c r="A15" s="126"/>
      <c r="B15" s="619" t="s">
        <v>74</v>
      </c>
      <c r="C15" s="620"/>
      <c r="D15" s="131">
        <v>9</v>
      </c>
      <c r="E15" s="132"/>
      <c r="F15" s="126"/>
    </row>
    <row r="16" spans="1:6" ht="16.5" customHeight="1">
      <c r="A16" s="126"/>
      <c r="B16" s="619" t="s">
        <v>75</v>
      </c>
      <c r="C16" s="620"/>
      <c r="D16" s="131">
        <v>10</v>
      </c>
      <c r="E16" s="132"/>
      <c r="F16" s="126"/>
    </row>
    <row r="17" spans="1:6" ht="16.5" customHeight="1">
      <c r="A17" s="126"/>
      <c r="B17" s="619" t="s">
        <v>76</v>
      </c>
      <c r="C17" s="620"/>
      <c r="D17" s="131">
        <v>11</v>
      </c>
      <c r="E17" s="132"/>
      <c r="F17" s="126"/>
    </row>
    <row r="18" spans="1:6" ht="16.5" customHeight="1">
      <c r="A18" s="126"/>
      <c r="B18" s="627" t="s">
        <v>77</v>
      </c>
      <c r="C18" s="628"/>
      <c r="D18" s="135">
        <v>12</v>
      </c>
      <c r="E18" s="136"/>
      <c r="F18" s="126"/>
    </row>
    <row r="19" spans="1:6" ht="12.75">
      <c r="A19" s="126"/>
      <c r="B19" s="126"/>
      <c r="C19" s="126"/>
      <c r="D19" s="126"/>
      <c r="E19" s="126"/>
      <c r="F19" s="126"/>
    </row>
    <row r="20" spans="1:6" ht="12.75">
      <c r="A20" s="126"/>
      <c r="B20" s="126"/>
      <c r="C20" s="126"/>
      <c r="D20" s="126"/>
      <c r="E20" s="126"/>
      <c r="F20" s="126"/>
    </row>
    <row r="21" spans="1:6" ht="14.25">
      <c r="A21" s="137" t="s">
        <v>78</v>
      </c>
      <c r="B21" s="137"/>
      <c r="C21" s="137"/>
      <c r="D21" s="138"/>
      <c r="E21" s="138"/>
      <c r="F21" s="138"/>
    </row>
    <row r="22" spans="1:6" ht="38.25" customHeight="1">
      <c r="A22" s="622" t="s">
        <v>301</v>
      </c>
      <c r="B22" s="622"/>
      <c r="C22" s="622"/>
      <c r="D22" s="622"/>
      <c r="E22" s="622"/>
      <c r="F22" s="622"/>
    </row>
    <row r="23" spans="1:6" ht="12.75">
      <c r="A23" s="126"/>
      <c r="B23" s="126"/>
      <c r="C23" s="126"/>
      <c r="D23" s="126"/>
      <c r="E23" s="126"/>
      <c r="F23" s="126"/>
    </row>
    <row r="24" spans="1:6" ht="14.25">
      <c r="A24" s="137" t="s">
        <v>79</v>
      </c>
      <c r="B24" s="137"/>
      <c r="C24" s="137"/>
      <c r="D24" s="138"/>
      <c r="E24" s="138"/>
      <c r="F24" s="138"/>
    </row>
    <row r="25" spans="1:6" ht="63.75" customHeight="1">
      <c r="A25" s="623" t="s">
        <v>302</v>
      </c>
      <c r="B25" s="623"/>
      <c r="C25" s="624"/>
      <c r="D25" s="624"/>
      <c r="E25" s="624"/>
      <c r="F25" s="624"/>
    </row>
    <row r="26" spans="1:6" ht="12.75">
      <c r="A26" s="139"/>
      <c r="B26" s="139"/>
      <c r="C26" s="103"/>
      <c r="D26" s="118"/>
      <c r="E26" s="103"/>
      <c r="F26" s="103"/>
    </row>
    <row r="27" spans="1:6" ht="14.25">
      <c r="A27" s="137" t="s">
        <v>80</v>
      </c>
      <c r="B27" s="137"/>
      <c r="C27" s="137"/>
      <c r="D27" s="138"/>
      <c r="E27" s="138"/>
      <c r="F27" s="138"/>
    </row>
    <row r="28" spans="1:6" ht="12.75">
      <c r="A28" s="625" t="s">
        <v>81</v>
      </c>
      <c r="B28" s="625"/>
      <c r="C28" s="626"/>
      <c r="D28" s="626"/>
      <c r="E28" s="626"/>
      <c r="F28" s="626"/>
    </row>
  </sheetData>
  <mergeCells count="15">
    <mergeCell ref="A22:F22"/>
    <mergeCell ref="A25:F25"/>
    <mergeCell ref="A28:F28"/>
    <mergeCell ref="B15:C15"/>
    <mergeCell ref="B16:C16"/>
    <mergeCell ref="B17:C17"/>
    <mergeCell ref="B18:C18"/>
    <mergeCell ref="B11:C11"/>
    <mergeCell ref="B12:C12"/>
    <mergeCell ref="B13:C13"/>
    <mergeCell ref="B14:C14"/>
    <mergeCell ref="B7:C7"/>
    <mergeCell ref="B8:C8"/>
    <mergeCell ref="B9:C9"/>
    <mergeCell ref="B10:C10"/>
  </mergeCells>
  <printOptions/>
  <pageMargins left="0.75" right="0.75" top="1" bottom="1" header="0.5" footer="0.5"/>
  <pageSetup horizontalDpi="600" verticalDpi="600" orientation="landscape" scale="80" r:id="rId2"/>
  <headerFooter alignWithMargins="0">
    <oddFooter>&amp;LCCI Supplementary Fiscal Q4/09 - May 20, 2009</oddFooter>
  </headerFooter>
  <drawing r:id="rId1"/>
</worksheet>
</file>

<file path=xl/worksheets/sheet3.xml><?xml version="1.0" encoding="utf-8"?>
<worksheet xmlns="http://schemas.openxmlformats.org/spreadsheetml/2006/main" xmlns:r="http://schemas.openxmlformats.org/officeDocument/2006/relationships">
  <dimension ref="A5:AC107"/>
  <sheetViews>
    <sheetView zoomScale="75" zoomScaleNormal="75" workbookViewId="0" topLeftCell="A1">
      <pane ySplit="9" topLeftCell="BM45" activePane="bottomLeft" state="frozen"/>
      <selection pane="topLeft" activeCell="B36" sqref="B36:L37"/>
      <selection pane="bottomLeft" activeCell="B78" sqref="B78"/>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7" width="9.7109375" style="3" customWidth="1"/>
    <col min="8" max="8" width="9.7109375" style="2" customWidth="1"/>
    <col min="9" max="14" width="9.7109375" style="0" customWidth="1"/>
    <col min="15" max="17" width="9.7109375" style="0" hidden="1" customWidth="1"/>
    <col min="18" max="18" width="1.57421875" style="0" customWidth="1"/>
    <col min="19" max="20" width="9.7109375" style="0" hidden="1" customWidth="1"/>
    <col min="21" max="21" width="11.140625" style="0" bestFit="1" customWidth="1"/>
    <col min="22" max="22" width="9.7109375" style="0" customWidth="1"/>
    <col min="23" max="23" width="1.57421875" style="0" customWidth="1"/>
    <col min="24" max="28" width="9.7109375" style="0" customWidth="1"/>
    <col min="29" max="29" width="9.7109375" style="0" hidden="1" customWidth="1"/>
    <col min="30" max="30" width="1.57421875" style="0" customWidth="1"/>
  </cols>
  <sheetData>
    <row r="1" ht="12.75"/>
    <row r="2" ht="12.75"/>
    <row r="3" ht="12.75"/>
    <row r="4" ht="12.75"/>
    <row r="5" spans="1:11" ht="12.75">
      <c r="A5" s="3"/>
      <c r="B5" s="3"/>
      <c r="C5" s="3"/>
      <c r="D5" s="3"/>
      <c r="I5" s="3"/>
      <c r="J5" s="3"/>
      <c r="K5" s="3"/>
    </row>
    <row r="6" spans="1:11" ht="15">
      <c r="A6" s="4" t="s">
        <v>0</v>
      </c>
      <c r="B6" s="5"/>
      <c r="C6" s="5"/>
      <c r="D6" s="5"/>
      <c r="E6" s="5"/>
      <c r="F6" s="5"/>
      <c r="G6" s="5"/>
      <c r="H6" s="5"/>
      <c r="I6" s="3"/>
      <c r="J6" s="3"/>
      <c r="K6" s="3"/>
    </row>
    <row r="7" spans="1:11" ht="9.75" customHeight="1">
      <c r="A7" s="2"/>
      <c r="B7" s="2"/>
      <c r="C7" s="2"/>
      <c r="D7" s="2"/>
      <c r="E7" s="2"/>
      <c r="F7" s="2"/>
      <c r="G7" s="563"/>
      <c r="I7" s="3"/>
      <c r="J7" s="3"/>
      <c r="K7" s="3"/>
    </row>
    <row r="8" spans="1:29" ht="12.75">
      <c r="A8" s="6" t="s">
        <v>1</v>
      </c>
      <c r="B8" s="7"/>
      <c r="C8" s="611" t="s">
        <v>286</v>
      </c>
      <c r="D8" s="629"/>
      <c r="E8" s="15"/>
      <c r="F8" s="17"/>
      <c r="H8" s="546"/>
      <c r="I8" s="19"/>
      <c r="J8" s="18"/>
      <c r="K8" s="18"/>
      <c r="L8" s="18"/>
      <c r="M8" s="18"/>
      <c r="N8" s="22"/>
      <c r="O8" s="19"/>
      <c r="P8" s="19"/>
      <c r="Q8" s="19"/>
      <c r="R8" s="24"/>
      <c r="S8" s="611" t="s">
        <v>285</v>
      </c>
      <c r="T8" s="602"/>
      <c r="U8" s="602"/>
      <c r="V8" s="603"/>
      <c r="W8" s="15"/>
      <c r="X8" s="98"/>
      <c r="Y8" s="17"/>
      <c r="Z8" s="22"/>
      <c r="AA8" s="98"/>
      <c r="AB8" s="98"/>
      <c r="AC8" s="98"/>
    </row>
    <row r="9" spans="1:29" ht="13.5">
      <c r="A9" s="6" t="s">
        <v>2</v>
      </c>
      <c r="B9" s="7"/>
      <c r="C9" s="630" t="s">
        <v>51</v>
      </c>
      <c r="D9" s="631"/>
      <c r="E9" s="16"/>
      <c r="F9" s="20" t="s">
        <v>166</v>
      </c>
      <c r="G9" s="21" t="s">
        <v>167</v>
      </c>
      <c r="H9" s="21" t="s">
        <v>168</v>
      </c>
      <c r="I9" s="14" t="s">
        <v>42</v>
      </c>
      <c r="J9" s="21" t="s">
        <v>43</v>
      </c>
      <c r="K9" s="21" t="s">
        <v>44</v>
      </c>
      <c r="L9" s="21" t="s">
        <v>45</v>
      </c>
      <c r="M9" s="21" t="s">
        <v>46</v>
      </c>
      <c r="N9" s="23" t="s">
        <v>47</v>
      </c>
      <c r="O9" s="14" t="s">
        <v>48</v>
      </c>
      <c r="P9" s="14" t="s">
        <v>49</v>
      </c>
      <c r="Q9" s="14" t="s">
        <v>50</v>
      </c>
      <c r="R9" s="345"/>
      <c r="S9" s="318" t="s">
        <v>55</v>
      </c>
      <c r="T9" s="15" t="s">
        <v>52</v>
      </c>
      <c r="U9" s="607" t="s">
        <v>51</v>
      </c>
      <c r="V9" s="608"/>
      <c r="W9" s="16"/>
      <c r="X9" s="20" t="s">
        <v>55</v>
      </c>
      <c r="Y9" s="20" t="s">
        <v>52</v>
      </c>
      <c r="Z9" s="23" t="s">
        <v>53</v>
      </c>
      <c r="AA9" s="23" t="s">
        <v>242</v>
      </c>
      <c r="AB9" s="23" t="s">
        <v>243</v>
      </c>
      <c r="AC9" s="23" t="s">
        <v>249</v>
      </c>
    </row>
    <row r="10" spans="1:29" ht="12.75" customHeight="1">
      <c r="A10" s="227" t="s">
        <v>3</v>
      </c>
      <c r="B10" s="8"/>
      <c r="C10" s="25"/>
      <c r="D10" s="19"/>
      <c r="F10" s="25"/>
      <c r="I10" s="26"/>
      <c r="J10" s="3"/>
      <c r="K10" s="3"/>
      <c r="L10" s="3"/>
      <c r="M10" s="26"/>
      <c r="N10" s="24"/>
      <c r="O10" s="26"/>
      <c r="P10" s="26"/>
      <c r="Q10" s="26"/>
      <c r="R10" s="24"/>
      <c r="S10" s="17"/>
      <c r="T10" s="18"/>
      <c r="U10" s="18"/>
      <c r="V10" s="19"/>
      <c r="X10" s="24"/>
      <c r="Y10" s="25"/>
      <c r="Z10" s="24"/>
      <c r="AA10" s="368"/>
      <c r="AB10" s="368"/>
      <c r="AC10" s="22"/>
    </row>
    <row r="11" spans="1:29" ht="12.75" customHeight="1">
      <c r="A11" s="7"/>
      <c r="B11" s="7" t="s">
        <v>4</v>
      </c>
      <c r="C11" s="55">
        <f>F11-J11</f>
        <v>-36450</v>
      </c>
      <c r="D11" s="45">
        <f>C11/J11</f>
        <v>-0.25410258912761596</v>
      </c>
      <c r="E11" s="46"/>
      <c r="F11" s="55">
        <f>'2 Consolidated IS'!F17</f>
        <v>106996</v>
      </c>
      <c r="G11" s="54">
        <v>87188</v>
      </c>
      <c r="H11" s="54">
        <v>110829</v>
      </c>
      <c r="I11" s="56">
        <v>172708</v>
      </c>
      <c r="J11" s="54">
        <v>143446</v>
      </c>
      <c r="K11" s="54">
        <v>183354</v>
      </c>
      <c r="L11" s="54">
        <v>158869</v>
      </c>
      <c r="M11" s="54">
        <v>245870</v>
      </c>
      <c r="N11" s="58">
        <v>216443</v>
      </c>
      <c r="O11" s="56">
        <v>178313</v>
      </c>
      <c r="P11" s="56">
        <v>156031</v>
      </c>
      <c r="Q11" s="56">
        <v>206127</v>
      </c>
      <c r="R11" s="569"/>
      <c r="S11" s="55">
        <f>X11</f>
        <v>477721</v>
      </c>
      <c r="T11" s="54">
        <f>Y11</f>
        <v>731539</v>
      </c>
      <c r="U11" s="54">
        <f>S11-T11</f>
        <v>-253818</v>
      </c>
      <c r="V11" s="45">
        <f>U11/T11</f>
        <v>-0.346964413380558</v>
      </c>
      <c r="W11" s="52"/>
      <c r="X11" s="58">
        <f>F11+G11+H11+I11</f>
        <v>477721</v>
      </c>
      <c r="Y11" s="58">
        <v>731539</v>
      </c>
      <c r="Z11" s="58">
        <v>756914</v>
      </c>
      <c r="AA11" s="58">
        <v>583415</v>
      </c>
      <c r="AB11" s="58">
        <v>432778</v>
      </c>
      <c r="AC11" s="58">
        <v>402157</v>
      </c>
    </row>
    <row r="12" spans="1:29" ht="12.75" customHeight="1">
      <c r="A12" s="7"/>
      <c r="B12" s="7" t="s">
        <v>5</v>
      </c>
      <c r="C12" s="55">
        <f>F12-J12</f>
        <v>-93693</v>
      </c>
      <c r="D12" s="45">
        <f>C12/J12</f>
        <v>-0.48294365064637845</v>
      </c>
      <c r="E12" s="46"/>
      <c r="F12" s="55">
        <f>'2 Consolidated IS'!F33</f>
        <v>100311</v>
      </c>
      <c r="G12" s="54">
        <v>159625</v>
      </c>
      <c r="H12" s="54">
        <v>115805</v>
      </c>
      <c r="I12" s="56">
        <v>149179</v>
      </c>
      <c r="J12" s="54">
        <v>194004</v>
      </c>
      <c r="K12" s="54">
        <v>159043</v>
      </c>
      <c r="L12" s="54">
        <v>139741</v>
      </c>
      <c r="M12" s="54">
        <v>187220</v>
      </c>
      <c r="N12" s="58">
        <v>176307</v>
      </c>
      <c r="O12" s="56">
        <v>144677</v>
      </c>
      <c r="P12" s="56">
        <v>130781</v>
      </c>
      <c r="Q12" s="56">
        <v>166952</v>
      </c>
      <c r="R12" s="569"/>
      <c r="S12" s="55">
        <f aca="true" t="shared" si="0" ref="S12:S53">X12</f>
        <v>524920</v>
      </c>
      <c r="T12" s="54">
        <f aca="true" t="shared" si="1" ref="T12:T53">Y12</f>
        <v>680008</v>
      </c>
      <c r="U12" s="54">
        <f>S12-T12</f>
        <v>-155088</v>
      </c>
      <c r="V12" s="45">
        <f>U12/T12</f>
        <v>-0.2280679050834696</v>
      </c>
      <c r="W12" s="52"/>
      <c r="X12" s="58">
        <f>F12+G12+H12+I12</f>
        <v>524920</v>
      </c>
      <c r="Y12" s="58">
        <v>680008</v>
      </c>
      <c r="Z12" s="58">
        <v>618717</v>
      </c>
      <c r="AA12" s="58">
        <v>464385</v>
      </c>
      <c r="AB12" s="58">
        <v>360022</v>
      </c>
      <c r="AC12" s="58">
        <v>339600</v>
      </c>
    </row>
    <row r="13" spans="1:29" ht="12.75" customHeight="1">
      <c r="A13" s="7"/>
      <c r="B13" s="7" t="s">
        <v>6</v>
      </c>
      <c r="C13" s="55">
        <f>F13-J13</f>
        <v>18423</v>
      </c>
      <c r="D13" s="45">
        <f>C13/J13</f>
        <v>-1.195988055050636</v>
      </c>
      <c r="E13" s="46"/>
      <c r="F13" s="55">
        <f>'2 Consolidated IS'!F37</f>
        <v>3019</v>
      </c>
      <c r="G13" s="54">
        <v>-10059</v>
      </c>
      <c r="H13" s="54">
        <v>422</v>
      </c>
      <c r="I13" s="56">
        <v>7070</v>
      </c>
      <c r="J13" s="54">
        <v>-15404</v>
      </c>
      <c r="K13" s="54">
        <v>9263</v>
      </c>
      <c r="L13" s="54">
        <v>6717</v>
      </c>
      <c r="M13" s="54">
        <v>19621</v>
      </c>
      <c r="N13" s="58">
        <v>14120</v>
      </c>
      <c r="O13" s="56">
        <v>9944</v>
      </c>
      <c r="P13" s="56">
        <v>7444</v>
      </c>
      <c r="Q13" s="56">
        <v>13233</v>
      </c>
      <c r="R13" s="569"/>
      <c r="S13" s="55">
        <f t="shared" si="0"/>
        <v>452</v>
      </c>
      <c r="T13" s="54">
        <f t="shared" si="1"/>
        <v>20197</v>
      </c>
      <c r="U13" s="54">
        <f>S13-T13</f>
        <v>-19745</v>
      </c>
      <c r="V13" s="45">
        <f>U13/T13</f>
        <v>-0.9776204386790117</v>
      </c>
      <c r="W13" s="52"/>
      <c r="X13" s="58">
        <f>F13+G13+H13+I13</f>
        <v>452</v>
      </c>
      <c r="Y13" s="58">
        <v>20197</v>
      </c>
      <c r="Z13" s="58">
        <v>44741</v>
      </c>
      <c r="AA13" s="58">
        <v>37880</v>
      </c>
      <c r="AB13" s="58">
        <v>24177</v>
      </c>
      <c r="AC13" s="58">
        <v>22128</v>
      </c>
    </row>
    <row r="14" spans="1:29" ht="12.75" customHeight="1">
      <c r="A14" s="7"/>
      <c r="B14" s="7" t="s">
        <v>7</v>
      </c>
      <c r="C14" s="55">
        <f>F14-J14</f>
        <v>38820</v>
      </c>
      <c r="D14" s="45">
        <f>C14/J14</f>
        <v>-1.104284007509814</v>
      </c>
      <c r="E14" s="46"/>
      <c r="F14" s="55">
        <f>'2 Consolidated IS'!F39</f>
        <v>3666</v>
      </c>
      <c r="G14" s="54">
        <v>-62378</v>
      </c>
      <c r="H14" s="54">
        <v>-5398</v>
      </c>
      <c r="I14" s="56">
        <v>16459</v>
      </c>
      <c r="J14" s="54">
        <v>-35154</v>
      </c>
      <c r="K14" s="54">
        <v>15048</v>
      </c>
      <c r="L14" s="54">
        <v>12411</v>
      </c>
      <c r="M14" s="54">
        <v>39029</v>
      </c>
      <c r="N14" s="58">
        <v>26016</v>
      </c>
      <c r="O14" s="56">
        <v>23692</v>
      </c>
      <c r="P14" s="56">
        <v>17806</v>
      </c>
      <c r="Q14" s="56">
        <v>25942</v>
      </c>
      <c r="R14" s="569"/>
      <c r="S14" s="55">
        <f t="shared" si="0"/>
        <v>-47651</v>
      </c>
      <c r="T14" s="54">
        <f t="shared" si="1"/>
        <v>31334</v>
      </c>
      <c r="U14" s="54">
        <f>S14-T14</f>
        <v>-78985</v>
      </c>
      <c r="V14" s="45">
        <f>U14/T14</f>
        <v>-2.5207442394842663</v>
      </c>
      <c r="W14" s="52"/>
      <c r="X14" s="58">
        <f>F14+G14+H14+I14</f>
        <v>-47651</v>
      </c>
      <c r="Y14" s="58">
        <v>31334</v>
      </c>
      <c r="Z14" s="58">
        <v>93456</v>
      </c>
      <c r="AA14" s="58">
        <v>81150</v>
      </c>
      <c r="AB14" s="58">
        <v>48579</v>
      </c>
      <c r="AC14" s="58">
        <v>40429</v>
      </c>
    </row>
    <row r="15" spans="1:29" ht="9.75" customHeight="1">
      <c r="A15" s="7"/>
      <c r="B15" s="7"/>
      <c r="C15" s="55"/>
      <c r="D15" s="45"/>
      <c r="E15" s="46"/>
      <c r="F15" s="459"/>
      <c r="G15" s="46"/>
      <c r="H15" s="54"/>
      <c r="I15" s="56"/>
      <c r="J15" s="54"/>
      <c r="K15" s="54"/>
      <c r="L15" s="54"/>
      <c r="M15" s="54"/>
      <c r="N15" s="58"/>
      <c r="O15" s="56"/>
      <c r="P15" s="56"/>
      <c r="Q15" s="56"/>
      <c r="R15" s="569"/>
      <c r="S15" s="55"/>
      <c r="T15" s="54"/>
      <c r="U15" s="54"/>
      <c r="V15" s="45"/>
      <c r="W15" s="52"/>
      <c r="X15" s="58"/>
      <c r="Y15" s="58"/>
      <c r="Z15" s="58"/>
      <c r="AA15" s="437"/>
      <c r="AB15" s="437"/>
      <c r="AC15" s="437"/>
    </row>
    <row r="16" spans="1:29" ht="12.75" customHeight="1">
      <c r="A16" s="227" t="s">
        <v>8</v>
      </c>
      <c r="B16" s="7"/>
      <c r="C16" s="55"/>
      <c r="D16" s="45"/>
      <c r="E16" s="46"/>
      <c r="F16" s="459"/>
      <c r="G16" s="46"/>
      <c r="H16" s="54"/>
      <c r="I16" s="56"/>
      <c r="J16" s="54"/>
      <c r="K16" s="54"/>
      <c r="L16" s="54"/>
      <c r="M16" s="54"/>
      <c r="N16" s="58"/>
      <c r="O16" s="56"/>
      <c r="P16" s="56"/>
      <c r="Q16" s="56"/>
      <c r="R16" s="569"/>
      <c r="S16" s="55"/>
      <c r="T16" s="54"/>
      <c r="U16" s="54"/>
      <c r="V16" s="45"/>
      <c r="W16" s="52"/>
      <c r="X16" s="58"/>
      <c r="Y16" s="58"/>
      <c r="Z16" s="58"/>
      <c r="AA16" s="58"/>
      <c r="AB16" s="58"/>
      <c r="AC16" s="58"/>
    </row>
    <row r="17" spans="1:29" ht="12.75" customHeight="1">
      <c r="A17" s="8"/>
      <c r="B17" s="7" t="s">
        <v>9</v>
      </c>
      <c r="C17" s="55">
        <f>F17-J17</f>
        <v>-76619</v>
      </c>
      <c r="D17" s="45">
        <f>C17/J17</f>
        <v>-0.036507525070066583</v>
      </c>
      <c r="E17" s="46"/>
      <c r="F17" s="55">
        <f>'9 Balance Sheet'!F22</f>
        <v>2022099</v>
      </c>
      <c r="G17" s="54">
        <v>1679685</v>
      </c>
      <c r="H17" s="54">
        <v>1942070</v>
      </c>
      <c r="I17" s="56">
        <v>2333893</v>
      </c>
      <c r="J17" s="54">
        <v>2098718</v>
      </c>
      <c r="K17" s="54">
        <v>1972741</v>
      </c>
      <c r="L17" s="54">
        <v>2525725</v>
      </c>
      <c r="M17" s="54">
        <v>2693627</v>
      </c>
      <c r="N17" s="58">
        <v>2609942</v>
      </c>
      <c r="O17" s="56">
        <v>1794143</v>
      </c>
      <c r="P17" s="56">
        <v>1665413</v>
      </c>
      <c r="Q17" s="56">
        <v>1789397</v>
      </c>
      <c r="R17" s="569"/>
      <c r="S17" s="55">
        <f t="shared" si="0"/>
        <v>2022099</v>
      </c>
      <c r="T17" s="54">
        <f t="shared" si="1"/>
        <v>2098718</v>
      </c>
      <c r="U17" s="54">
        <f aca="true" t="shared" si="2" ref="U17:U43">S17-T17</f>
        <v>-76619</v>
      </c>
      <c r="V17" s="45">
        <f aca="true" t="shared" si="3" ref="V17:V43">U17/T17</f>
        <v>-0.036507525070066583</v>
      </c>
      <c r="W17" s="52"/>
      <c r="X17" s="58">
        <f>F17</f>
        <v>2022099</v>
      </c>
      <c r="Y17" s="58">
        <v>2098718</v>
      </c>
      <c r="Z17" s="58">
        <v>2609942</v>
      </c>
      <c r="AA17" s="58">
        <v>2177973</v>
      </c>
      <c r="AB17" s="58">
        <v>1638165</v>
      </c>
      <c r="AC17" s="58">
        <v>1508366</v>
      </c>
    </row>
    <row r="18" spans="1:29" ht="12.75" customHeight="1">
      <c r="A18" s="8"/>
      <c r="B18" s="7" t="s">
        <v>10</v>
      </c>
      <c r="C18" s="55">
        <f>F18-J18</f>
        <v>-91879</v>
      </c>
      <c r="D18" s="45">
        <f>C18/J18</f>
        <v>-0.052765389019763694</v>
      </c>
      <c r="E18" s="46"/>
      <c r="F18" s="55">
        <f>'9 Balance Sheet'!F25+'9 Balance Sheet'!F26+'9 Balance Sheet'!F27+'9 Balance Sheet'!F28+'9 Balance Sheet'!F29+'9 Balance Sheet'!F30+'9 Balance Sheet'!F31+'9 Balance Sheet'!F32</f>
        <v>1649395</v>
      </c>
      <c r="G18" s="54">
        <v>1321724</v>
      </c>
      <c r="H18" s="54">
        <v>1527762</v>
      </c>
      <c r="I18" s="56">
        <v>1893991</v>
      </c>
      <c r="J18" s="54">
        <v>1741274</v>
      </c>
      <c r="K18" s="54">
        <v>1582513</v>
      </c>
      <c r="L18" s="54">
        <v>2143412</v>
      </c>
      <c r="M18" s="54">
        <v>2304386</v>
      </c>
      <c r="N18" s="58">
        <v>2237751</v>
      </c>
      <c r="O18" s="56">
        <v>1438915</v>
      </c>
      <c r="P18" s="56">
        <v>1338324</v>
      </c>
      <c r="Q18" s="56">
        <v>1478199</v>
      </c>
      <c r="R18" s="569"/>
      <c r="S18" s="55">
        <f t="shared" si="0"/>
        <v>1649395</v>
      </c>
      <c r="T18" s="54">
        <f t="shared" si="1"/>
        <v>1741274</v>
      </c>
      <c r="U18" s="54">
        <f t="shared" si="2"/>
        <v>-91879</v>
      </c>
      <c r="V18" s="45">
        <f t="shared" si="3"/>
        <v>-0.052765389019763694</v>
      </c>
      <c r="W18" s="52"/>
      <c r="X18" s="58">
        <f>F18</f>
        <v>1649395</v>
      </c>
      <c r="Y18" s="58">
        <v>1741274</v>
      </c>
      <c r="Z18" s="58">
        <v>2237751</v>
      </c>
      <c r="AA18" s="58">
        <v>1890143</v>
      </c>
      <c r="AB18" s="58">
        <v>1415954</v>
      </c>
      <c r="AC18" s="58">
        <v>1409679</v>
      </c>
    </row>
    <row r="19" spans="1:29" ht="12.75" customHeight="1">
      <c r="A19" s="8"/>
      <c r="B19" s="7" t="s">
        <v>11</v>
      </c>
      <c r="C19" s="55">
        <f>F19-J19</f>
        <v>15260</v>
      </c>
      <c r="D19" s="45">
        <f>C19/J19</f>
        <v>0.04269200210382605</v>
      </c>
      <c r="E19" s="46"/>
      <c r="F19" s="55">
        <f>'9 Balance Sheet'!F33</f>
        <v>372704</v>
      </c>
      <c r="G19" s="54">
        <v>357961</v>
      </c>
      <c r="H19" s="54">
        <v>414308</v>
      </c>
      <c r="I19" s="56">
        <v>439902</v>
      </c>
      <c r="J19" s="54">
        <v>357444</v>
      </c>
      <c r="K19" s="54">
        <v>390228</v>
      </c>
      <c r="L19" s="54">
        <v>382313</v>
      </c>
      <c r="M19" s="54">
        <v>389241</v>
      </c>
      <c r="N19" s="58">
        <v>372191</v>
      </c>
      <c r="O19" s="56">
        <v>355228</v>
      </c>
      <c r="P19" s="56">
        <v>327089</v>
      </c>
      <c r="Q19" s="56">
        <v>311198</v>
      </c>
      <c r="R19" s="569"/>
      <c r="S19" s="55">
        <f t="shared" si="0"/>
        <v>372704</v>
      </c>
      <c r="T19" s="54">
        <f t="shared" si="1"/>
        <v>357444</v>
      </c>
      <c r="U19" s="54">
        <f t="shared" si="2"/>
        <v>15260</v>
      </c>
      <c r="V19" s="45">
        <f t="shared" si="3"/>
        <v>0.04269200210382605</v>
      </c>
      <c r="W19" s="52"/>
      <c r="X19" s="58">
        <f>F19</f>
        <v>372704</v>
      </c>
      <c r="Y19" s="58">
        <v>357444</v>
      </c>
      <c r="Z19" s="58">
        <v>372191</v>
      </c>
      <c r="AA19" s="58">
        <v>287830</v>
      </c>
      <c r="AB19" s="58">
        <v>222211</v>
      </c>
      <c r="AC19" s="58">
        <v>98687</v>
      </c>
    </row>
    <row r="20" spans="1:29" ht="9.75" customHeight="1">
      <c r="A20" s="8"/>
      <c r="B20" s="7"/>
      <c r="C20" s="55"/>
      <c r="D20" s="45"/>
      <c r="E20" s="46"/>
      <c r="F20" s="459"/>
      <c r="G20" s="46"/>
      <c r="H20" s="1"/>
      <c r="I20" s="481"/>
      <c r="J20" s="54"/>
      <c r="K20" s="54"/>
      <c r="L20" s="54"/>
      <c r="M20" s="54"/>
      <c r="N20" s="58"/>
      <c r="O20" s="56"/>
      <c r="P20" s="56"/>
      <c r="Q20" s="56"/>
      <c r="R20" s="569"/>
      <c r="S20" s="55"/>
      <c r="T20" s="54"/>
      <c r="U20" s="54"/>
      <c r="V20" s="45"/>
      <c r="W20" s="52"/>
      <c r="X20" s="58"/>
      <c r="Y20" s="58"/>
      <c r="Z20" s="58"/>
      <c r="AA20" s="438"/>
      <c r="AB20" s="438"/>
      <c r="AC20" s="438"/>
    </row>
    <row r="21" spans="1:29" ht="12.75" customHeight="1">
      <c r="A21" s="227" t="s">
        <v>12</v>
      </c>
      <c r="B21" s="7"/>
      <c r="C21" s="55"/>
      <c r="D21" s="45"/>
      <c r="E21" s="46"/>
      <c r="F21" s="459"/>
      <c r="G21" s="46"/>
      <c r="H21" s="1"/>
      <c r="I21" s="481"/>
      <c r="J21" s="54"/>
      <c r="K21" s="54"/>
      <c r="L21" s="54"/>
      <c r="M21" s="54"/>
      <c r="N21" s="58"/>
      <c r="O21" s="56"/>
      <c r="P21" s="56"/>
      <c r="Q21" s="56"/>
      <c r="R21" s="569"/>
      <c r="S21" s="55"/>
      <c r="T21" s="54"/>
      <c r="U21" s="54"/>
      <c r="V21" s="45"/>
      <c r="W21" s="52"/>
      <c r="X21" s="58"/>
      <c r="Y21" s="58"/>
      <c r="Z21" s="58"/>
      <c r="AA21" s="58"/>
      <c r="AB21" s="58"/>
      <c r="AC21" s="58"/>
    </row>
    <row r="22" spans="1:29" ht="12.75" customHeight="1">
      <c r="A22" s="8"/>
      <c r="B22" s="9" t="s">
        <v>13</v>
      </c>
      <c r="C22" s="55">
        <f>F22-J22</f>
        <v>-337</v>
      </c>
      <c r="D22" s="45">
        <f>C22/J22</f>
        <v>-0.46164383561643835</v>
      </c>
      <c r="E22" s="46"/>
      <c r="F22" s="55">
        <f>'4 Private Client'!F37</f>
        <v>393</v>
      </c>
      <c r="G22" s="54">
        <v>454</v>
      </c>
      <c r="H22" s="54">
        <v>609</v>
      </c>
      <c r="I22" s="54">
        <v>747</v>
      </c>
      <c r="J22" s="55">
        <v>730</v>
      </c>
      <c r="K22" s="54">
        <v>760</v>
      </c>
      <c r="L22" s="54">
        <v>777</v>
      </c>
      <c r="M22" s="54">
        <v>815</v>
      </c>
      <c r="N22" s="58">
        <v>807</v>
      </c>
      <c r="O22" s="56">
        <v>814</v>
      </c>
      <c r="P22" s="56">
        <v>745</v>
      </c>
      <c r="Q22" s="56">
        <v>712</v>
      </c>
      <c r="R22" s="569"/>
      <c r="S22" s="55">
        <f t="shared" si="0"/>
        <v>393</v>
      </c>
      <c r="T22" s="54">
        <f t="shared" si="1"/>
        <v>730</v>
      </c>
      <c r="U22" s="54">
        <f t="shared" si="2"/>
        <v>-337</v>
      </c>
      <c r="V22" s="45">
        <f t="shared" si="3"/>
        <v>-0.46164383561643835</v>
      </c>
      <c r="W22" s="52"/>
      <c r="X22" s="58">
        <f>F22</f>
        <v>393</v>
      </c>
      <c r="Y22" s="58">
        <v>730</v>
      </c>
      <c r="Z22" s="58">
        <v>807</v>
      </c>
      <c r="AA22" s="58">
        <v>613</v>
      </c>
      <c r="AB22" s="58">
        <v>380</v>
      </c>
      <c r="AC22" s="58">
        <v>237</v>
      </c>
    </row>
    <row r="23" spans="1:29" ht="12.75" customHeight="1">
      <c r="A23" s="8"/>
      <c r="B23" s="7" t="s">
        <v>14</v>
      </c>
      <c r="C23" s="55">
        <f>F23-J23</f>
        <v>-5111</v>
      </c>
      <c r="D23" s="45">
        <f>C23/J23</f>
        <v>-0.35753760055963624</v>
      </c>
      <c r="E23" s="46"/>
      <c r="F23" s="55">
        <f>'4 Private Client'!F38</f>
        <v>9184</v>
      </c>
      <c r="G23" s="54">
        <v>9030</v>
      </c>
      <c r="H23" s="54">
        <v>11584</v>
      </c>
      <c r="I23" s="54">
        <v>14695</v>
      </c>
      <c r="J23" s="55">
        <v>14295</v>
      </c>
      <c r="K23" s="54">
        <v>14860</v>
      </c>
      <c r="L23" s="54">
        <v>15288</v>
      </c>
      <c r="M23" s="54">
        <v>15701</v>
      </c>
      <c r="N23" s="58">
        <v>15014</v>
      </c>
      <c r="O23" s="56">
        <v>14121</v>
      </c>
      <c r="P23" s="56">
        <v>13826</v>
      </c>
      <c r="Q23" s="56">
        <v>13942</v>
      </c>
      <c r="R23" s="569"/>
      <c r="S23" s="55">
        <f t="shared" si="0"/>
        <v>9184</v>
      </c>
      <c r="T23" s="54">
        <f t="shared" si="1"/>
        <v>14295</v>
      </c>
      <c r="U23" s="54">
        <f t="shared" si="2"/>
        <v>-5111</v>
      </c>
      <c r="V23" s="45">
        <f t="shared" si="3"/>
        <v>-0.35753760055963624</v>
      </c>
      <c r="W23" s="52"/>
      <c r="X23" s="58">
        <f>F23</f>
        <v>9184</v>
      </c>
      <c r="Y23" s="58">
        <v>14295</v>
      </c>
      <c r="Z23" s="58">
        <v>15014</v>
      </c>
      <c r="AA23" s="58">
        <v>14310</v>
      </c>
      <c r="AB23" s="58">
        <v>9967</v>
      </c>
      <c r="AC23" s="58">
        <v>8292</v>
      </c>
    </row>
    <row r="24" spans="1:29" ht="9.75" customHeight="1">
      <c r="A24" s="8"/>
      <c r="B24" s="7"/>
      <c r="C24" s="55"/>
      <c r="D24" s="45"/>
      <c r="E24" s="46"/>
      <c r="F24" s="459"/>
      <c r="G24" s="46"/>
      <c r="H24" s="1"/>
      <c r="I24" s="481"/>
      <c r="J24" s="54"/>
      <c r="K24" s="54"/>
      <c r="L24" s="54"/>
      <c r="M24" s="54"/>
      <c r="N24" s="58"/>
      <c r="O24" s="56"/>
      <c r="P24" s="56"/>
      <c r="Q24" s="56"/>
      <c r="R24" s="569"/>
      <c r="S24" s="55"/>
      <c r="T24" s="54"/>
      <c r="U24" s="54"/>
      <c r="V24" s="45"/>
      <c r="W24" s="52"/>
      <c r="X24" s="58"/>
      <c r="Y24" s="58"/>
      <c r="Z24" s="58"/>
      <c r="AA24" s="58"/>
      <c r="AB24" s="58"/>
      <c r="AC24" s="58"/>
    </row>
    <row r="25" spans="1:29" ht="12.75" customHeight="1">
      <c r="A25" s="227" t="s">
        <v>15</v>
      </c>
      <c r="B25" s="7"/>
      <c r="C25" s="55"/>
      <c r="D25" s="45"/>
      <c r="E25" s="46"/>
      <c r="F25" s="459"/>
      <c r="G25" s="46"/>
      <c r="H25" s="1"/>
      <c r="I25" s="481"/>
      <c r="J25" s="54"/>
      <c r="K25" s="54"/>
      <c r="L25" s="54"/>
      <c r="M25" s="54"/>
      <c r="N25" s="58"/>
      <c r="O25" s="56"/>
      <c r="P25" s="56"/>
      <c r="Q25" s="56"/>
      <c r="R25" s="569"/>
      <c r="S25" s="55"/>
      <c r="T25" s="54"/>
      <c r="U25" s="54"/>
      <c r="V25" s="45"/>
      <c r="W25" s="52"/>
      <c r="X25" s="58"/>
      <c r="Y25" s="58"/>
      <c r="Z25" s="58"/>
      <c r="AA25" s="58"/>
      <c r="AB25" s="58"/>
      <c r="AC25" s="58"/>
    </row>
    <row r="26" spans="1:29" ht="12.75" customHeight="1">
      <c r="A26" s="7" t="s">
        <v>16</v>
      </c>
      <c r="B26" s="7"/>
      <c r="C26" s="55"/>
      <c r="D26" s="45"/>
      <c r="E26" s="46"/>
      <c r="F26" s="459"/>
      <c r="G26" s="46"/>
      <c r="H26" s="1"/>
      <c r="I26" s="481"/>
      <c r="J26" s="54"/>
      <c r="K26" s="54"/>
      <c r="L26" s="54"/>
      <c r="M26" s="54"/>
      <c r="N26" s="58"/>
      <c r="O26" s="56"/>
      <c r="P26" s="56"/>
      <c r="Q26" s="56"/>
      <c r="R26" s="569"/>
      <c r="S26" s="55"/>
      <c r="T26" s="54"/>
      <c r="U26" s="54"/>
      <c r="V26" s="45"/>
      <c r="W26" s="52"/>
      <c r="X26" s="58"/>
      <c r="Y26" s="58"/>
      <c r="Z26" s="58"/>
      <c r="AA26" s="58"/>
      <c r="AB26" s="58"/>
      <c r="AC26" s="58"/>
    </row>
    <row r="27" spans="1:29" ht="12.75" customHeight="1">
      <c r="A27" s="7"/>
      <c r="B27" s="7" t="s">
        <v>17</v>
      </c>
      <c r="C27" s="97">
        <f>F27-J27</f>
        <v>0.8700000000000001</v>
      </c>
      <c r="D27" s="45">
        <f>C27/J27</f>
        <v>-1.0875000000000001</v>
      </c>
      <c r="E27" s="46"/>
      <c r="F27" s="553">
        <f>'2 Consolidated IS'!F50</f>
        <v>0.07</v>
      </c>
      <c r="G27" s="50">
        <v>-1.27</v>
      </c>
      <c r="H27" s="50">
        <v>-0.11</v>
      </c>
      <c r="I27" s="481">
        <v>0.35</v>
      </c>
      <c r="J27" s="50">
        <v>-0.8</v>
      </c>
      <c r="K27" s="50">
        <v>0.34</v>
      </c>
      <c r="L27" s="50">
        <v>0.28</v>
      </c>
      <c r="M27" s="50">
        <v>0.86</v>
      </c>
      <c r="N27" s="47">
        <v>0.57</v>
      </c>
      <c r="O27" s="61">
        <v>0.51</v>
      </c>
      <c r="P27" s="61">
        <v>0.39</v>
      </c>
      <c r="Q27" s="61">
        <v>0.57</v>
      </c>
      <c r="R27" s="569"/>
      <c r="S27" s="487">
        <f t="shared" si="0"/>
        <v>-0.97</v>
      </c>
      <c r="T27" s="488">
        <f t="shared" si="1"/>
        <v>0.7</v>
      </c>
      <c r="U27" s="488">
        <f t="shared" si="2"/>
        <v>-1.67</v>
      </c>
      <c r="V27" s="45">
        <f t="shared" si="3"/>
        <v>-2.3857142857142857</v>
      </c>
      <c r="W27" s="52"/>
      <c r="X27" s="47">
        <f>'2 Consolidated IS'!X50</f>
        <v>-0.97</v>
      </c>
      <c r="Y27" s="47">
        <v>0.7</v>
      </c>
      <c r="Z27" s="47">
        <v>2.03</v>
      </c>
      <c r="AA27" s="47">
        <v>1.82</v>
      </c>
      <c r="AB27" s="47">
        <v>1.17</v>
      </c>
      <c r="AC27" s="47">
        <v>1.43</v>
      </c>
    </row>
    <row r="28" spans="1:29" ht="12.75" customHeight="1">
      <c r="A28" s="7"/>
      <c r="B28" s="7" t="s">
        <v>18</v>
      </c>
      <c r="C28" s="97">
        <f>F28-J28</f>
        <v>0.8700000000000001</v>
      </c>
      <c r="D28" s="45">
        <f>C28/J28</f>
        <v>-1.0875000000000001</v>
      </c>
      <c r="E28" s="46"/>
      <c r="F28" s="553">
        <f>'2 Consolidated IS'!F51</f>
        <v>0.07</v>
      </c>
      <c r="G28" s="50">
        <v>-1.27</v>
      </c>
      <c r="H28" s="50">
        <v>-0.11</v>
      </c>
      <c r="I28" s="481">
        <v>0.31</v>
      </c>
      <c r="J28" s="50">
        <v>-0.8</v>
      </c>
      <c r="K28" s="50">
        <v>0.31</v>
      </c>
      <c r="L28" s="50">
        <v>0.26</v>
      </c>
      <c r="M28" s="50">
        <v>0.8</v>
      </c>
      <c r="N28" s="47">
        <v>0.54</v>
      </c>
      <c r="O28" s="61">
        <v>0.49</v>
      </c>
      <c r="P28" s="61">
        <v>0.37</v>
      </c>
      <c r="Q28" s="61">
        <v>0.54</v>
      </c>
      <c r="R28" s="569"/>
      <c r="S28" s="487">
        <f t="shared" si="0"/>
        <v>-0.97</v>
      </c>
      <c r="T28" s="488">
        <f t="shared" si="1"/>
        <v>0.64</v>
      </c>
      <c r="U28" s="488">
        <f t="shared" si="2"/>
        <v>-1.6099999999999999</v>
      </c>
      <c r="V28" s="45">
        <f t="shared" si="3"/>
        <v>-2.5156249999999996</v>
      </c>
      <c r="W28" s="52"/>
      <c r="X28" s="47">
        <f>'2 Consolidated IS'!X51</f>
        <v>-0.97</v>
      </c>
      <c r="Y28" s="47">
        <v>0.64</v>
      </c>
      <c r="Z28" s="47">
        <v>1.94</v>
      </c>
      <c r="AA28" s="47">
        <v>1.74</v>
      </c>
      <c r="AB28" s="47">
        <v>1.11</v>
      </c>
      <c r="AC28" s="47">
        <v>1.12</v>
      </c>
    </row>
    <row r="29" spans="1:29" ht="12.75" customHeight="1">
      <c r="A29" s="7"/>
      <c r="B29" s="7" t="s">
        <v>19</v>
      </c>
      <c r="C29" s="97">
        <f>F29-J29</f>
        <v>-0.7000000000000002</v>
      </c>
      <c r="D29" s="45">
        <f>C29/J29</f>
        <v>-0.09708737864077673</v>
      </c>
      <c r="E29" s="46"/>
      <c r="F29" s="553">
        <f>'2 Consolidated IS'!F52</f>
        <v>6.51</v>
      </c>
      <c r="G29" s="64">
        <v>6.37</v>
      </c>
      <c r="H29" s="1">
        <v>7.15</v>
      </c>
      <c r="I29" s="456">
        <v>7.66</v>
      </c>
      <c r="J29" s="62">
        <v>7.21</v>
      </c>
      <c r="K29" s="62">
        <v>7.95</v>
      </c>
      <c r="L29" s="62">
        <v>7.83</v>
      </c>
      <c r="M29" s="62">
        <v>7.96</v>
      </c>
      <c r="N29" s="67">
        <v>7.74</v>
      </c>
      <c r="O29" s="63">
        <v>7.43</v>
      </c>
      <c r="P29" s="63">
        <v>6.84</v>
      </c>
      <c r="Q29" s="63">
        <v>6.49</v>
      </c>
      <c r="R29" s="569"/>
      <c r="S29" s="487">
        <f t="shared" si="0"/>
        <v>6.51</v>
      </c>
      <c r="T29" s="488">
        <f t="shared" si="1"/>
        <v>7.21</v>
      </c>
      <c r="U29" s="488">
        <f t="shared" si="2"/>
        <v>-0.7000000000000002</v>
      </c>
      <c r="V29" s="45">
        <f t="shared" si="3"/>
        <v>-0.09708737864077673</v>
      </c>
      <c r="W29" s="52"/>
      <c r="X29" s="47">
        <f>'2 Consolidated IS'!X52</f>
        <v>6.51</v>
      </c>
      <c r="Y29" s="47">
        <v>7.21</v>
      </c>
      <c r="Z29" s="47">
        <v>7.74</v>
      </c>
      <c r="AA29" s="47">
        <v>5.99</v>
      </c>
      <c r="AB29" s="47">
        <v>4.82</v>
      </c>
      <c r="AC29" s="47">
        <v>2.59</v>
      </c>
    </row>
    <row r="30" spans="1:29" ht="9.75" customHeight="1">
      <c r="A30" s="8"/>
      <c r="B30" s="7"/>
      <c r="C30" s="97"/>
      <c r="D30" s="45"/>
      <c r="E30" s="46"/>
      <c r="F30" s="459"/>
      <c r="G30" s="46"/>
      <c r="H30" s="1"/>
      <c r="I30" s="481"/>
      <c r="J30" s="54"/>
      <c r="K30" s="54"/>
      <c r="L30" s="54"/>
      <c r="M30" s="54"/>
      <c r="N30" s="58"/>
      <c r="O30" s="56"/>
      <c r="P30" s="56"/>
      <c r="Q30" s="56"/>
      <c r="R30" s="569"/>
      <c r="S30" s="487"/>
      <c r="T30" s="488"/>
      <c r="U30" s="488"/>
      <c r="V30" s="45"/>
      <c r="W30" s="52"/>
      <c r="X30" s="58"/>
      <c r="Y30" s="58"/>
      <c r="Z30" s="58"/>
      <c r="AA30" s="58"/>
      <c r="AB30" s="58"/>
      <c r="AC30" s="58"/>
    </row>
    <row r="31" spans="1:29" ht="12.75" customHeight="1">
      <c r="A31" s="7" t="s">
        <v>20</v>
      </c>
      <c r="B31" s="7"/>
      <c r="C31" s="97"/>
      <c r="D31" s="45"/>
      <c r="E31" s="46"/>
      <c r="F31" s="459"/>
      <c r="G31" s="46"/>
      <c r="H31" s="1"/>
      <c r="I31" s="481"/>
      <c r="J31" s="54"/>
      <c r="K31" s="54"/>
      <c r="L31" s="54"/>
      <c r="M31" s="54"/>
      <c r="N31" s="58"/>
      <c r="O31" s="56"/>
      <c r="P31" s="56"/>
      <c r="Q31" s="56"/>
      <c r="R31" s="569"/>
      <c r="S31" s="487"/>
      <c r="T31" s="488"/>
      <c r="U31" s="488"/>
      <c r="V31" s="45"/>
      <c r="W31" s="52"/>
      <c r="X31" s="58"/>
      <c r="Y31" s="58"/>
      <c r="Z31" s="58"/>
      <c r="AA31" s="58"/>
      <c r="AB31" s="58"/>
      <c r="AC31" s="58"/>
    </row>
    <row r="32" spans="1:29" ht="12.75" customHeight="1">
      <c r="A32" s="8"/>
      <c r="B32" s="7" t="s">
        <v>21</v>
      </c>
      <c r="C32" s="97">
        <f>F32-J32</f>
        <v>-10.799999999999997</v>
      </c>
      <c r="D32" s="45">
        <f>C32/J32</f>
        <v>-0.661359461114513</v>
      </c>
      <c r="E32" s="46"/>
      <c r="F32" s="553">
        <v>5.53</v>
      </c>
      <c r="G32" s="64">
        <v>8.19</v>
      </c>
      <c r="H32" s="64">
        <v>9.33</v>
      </c>
      <c r="I32" s="482">
        <v>11.75</v>
      </c>
      <c r="J32" s="1">
        <v>16.33</v>
      </c>
      <c r="K32" s="64">
        <v>20.58</v>
      </c>
      <c r="L32" s="65">
        <v>22.49</v>
      </c>
      <c r="M32" s="64">
        <v>25.92</v>
      </c>
      <c r="N32" s="561">
        <v>22.64</v>
      </c>
      <c r="O32" s="66">
        <v>19.78</v>
      </c>
      <c r="P32" s="489">
        <v>20.6</v>
      </c>
      <c r="Q32" s="66">
        <v>27.5</v>
      </c>
      <c r="R32" s="569"/>
      <c r="S32" s="487">
        <f t="shared" si="0"/>
        <v>11.75</v>
      </c>
      <c r="T32" s="488">
        <f t="shared" si="1"/>
        <v>25.92</v>
      </c>
      <c r="U32" s="488">
        <f t="shared" si="2"/>
        <v>-14.170000000000002</v>
      </c>
      <c r="V32" s="45">
        <f t="shared" si="3"/>
        <v>-0.5466820987654322</v>
      </c>
      <c r="W32" s="52"/>
      <c r="X32" s="67">
        <f>I32</f>
        <v>11.75</v>
      </c>
      <c r="Y32" s="67">
        <v>25.92</v>
      </c>
      <c r="Z32" s="67">
        <v>27.5</v>
      </c>
      <c r="AA32" s="67">
        <v>21.25</v>
      </c>
      <c r="AB32" s="67">
        <v>11.1</v>
      </c>
      <c r="AC32" s="67">
        <v>0</v>
      </c>
    </row>
    <row r="33" spans="1:29" ht="12.75" customHeight="1">
      <c r="A33" s="8"/>
      <c r="B33" s="7" t="s">
        <v>22</v>
      </c>
      <c r="C33" s="97">
        <f>F33-J33</f>
        <v>-5.1</v>
      </c>
      <c r="D33" s="45">
        <f>C33/J33</f>
        <v>-0.5930232558139534</v>
      </c>
      <c r="E33" s="46"/>
      <c r="F33" s="553">
        <v>3.5</v>
      </c>
      <c r="G33" s="64">
        <v>2.87</v>
      </c>
      <c r="H33" s="64">
        <v>6.68</v>
      </c>
      <c r="I33" s="482">
        <v>7.6</v>
      </c>
      <c r="J33" s="64">
        <v>8.6</v>
      </c>
      <c r="K33" s="64">
        <v>13.3</v>
      </c>
      <c r="L33" s="65">
        <v>16.25</v>
      </c>
      <c r="M33" s="1">
        <v>20.22</v>
      </c>
      <c r="N33" s="562">
        <v>16.7</v>
      </c>
      <c r="O33" s="66">
        <v>15.8</v>
      </c>
      <c r="P33" s="489">
        <v>16.74</v>
      </c>
      <c r="Q33" s="68">
        <v>16.25</v>
      </c>
      <c r="R33" s="569"/>
      <c r="S33" s="487">
        <f t="shared" si="0"/>
        <v>2.87</v>
      </c>
      <c r="T33" s="488">
        <f t="shared" si="1"/>
        <v>8.6</v>
      </c>
      <c r="U33" s="488">
        <f t="shared" si="2"/>
        <v>-5.7299999999999995</v>
      </c>
      <c r="V33" s="45">
        <f t="shared" si="3"/>
        <v>-0.6662790697674419</v>
      </c>
      <c r="W33" s="52"/>
      <c r="X33" s="67">
        <f>G33</f>
        <v>2.87</v>
      </c>
      <c r="Y33" s="67">
        <v>8.6</v>
      </c>
      <c r="Z33" s="67">
        <v>15.8</v>
      </c>
      <c r="AA33" s="67">
        <v>9</v>
      </c>
      <c r="AB33" s="67">
        <v>7.96</v>
      </c>
      <c r="AC33" s="67">
        <v>0</v>
      </c>
    </row>
    <row r="34" spans="1:29" ht="12.75" customHeight="1">
      <c r="A34" s="8"/>
      <c r="B34" s="7" t="s">
        <v>23</v>
      </c>
      <c r="C34" s="97">
        <f>F34-J34</f>
        <v>-4.4</v>
      </c>
      <c r="D34" s="45">
        <f>C34/J34</f>
        <v>-0.4489795918367347</v>
      </c>
      <c r="E34" s="46"/>
      <c r="F34" s="553">
        <v>5.4</v>
      </c>
      <c r="G34" s="64">
        <v>4.04</v>
      </c>
      <c r="H34" s="64">
        <v>7.98</v>
      </c>
      <c r="I34" s="482">
        <v>7.95</v>
      </c>
      <c r="J34" s="64">
        <v>9.8</v>
      </c>
      <c r="K34" s="64">
        <v>15.3</v>
      </c>
      <c r="L34" s="65">
        <v>18.98</v>
      </c>
      <c r="M34" s="1">
        <v>20.83</v>
      </c>
      <c r="N34" s="561">
        <v>22.12</v>
      </c>
      <c r="O34" s="66">
        <v>18.6</v>
      </c>
      <c r="P34" s="489">
        <v>17.1</v>
      </c>
      <c r="Q34" s="68">
        <v>17.72</v>
      </c>
      <c r="R34" s="569"/>
      <c r="S34" s="487">
        <f t="shared" si="0"/>
        <v>5.4</v>
      </c>
      <c r="T34" s="488">
        <f t="shared" si="1"/>
        <v>9.8</v>
      </c>
      <c r="U34" s="488">
        <f t="shared" si="2"/>
        <v>-4.4</v>
      </c>
      <c r="V34" s="45">
        <f t="shared" si="3"/>
        <v>-0.4489795918367347</v>
      </c>
      <c r="W34" s="52"/>
      <c r="X34" s="67">
        <f>F34</f>
        <v>5.4</v>
      </c>
      <c r="Y34" s="67">
        <v>9.8</v>
      </c>
      <c r="Z34" s="67">
        <v>22.12</v>
      </c>
      <c r="AA34" s="67">
        <v>20.8</v>
      </c>
      <c r="AB34" s="67">
        <v>10.48</v>
      </c>
      <c r="AC34" s="67">
        <v>0</v>
      </c>
    </row>
    <row r="35" spans="1:29" ht="9.75" customHeight="1">
      <c r="A35" s="8"/>
      <c r="B35" s="7"/>
      <c r="C35" s="55"/>
      <c r="D35" s="45"/>
      <c r="E35" s="46"/>
      <c r="F35" s="459"/>
      <c r="G35" s="46"/>
      <c r="H35" s="1"/>
      <c r="I35" s="481"/>
      <c r="J35" s="54"/>
      <c r="K35" s="54"/>
      <c r="L35" s="54"/>
      <c r="M35" s="54"/>
      <c r="N35" s="58"/>
      <c r="O35" s="56"/>
      <c r="P35" s="56"/>
      <c r="Q35" s="56"/>
      <c r="R35" s="569"/>
      <c r="S35" s="55"/>
      <c r="T35" s="54"/>
      <c r="U35" s="54"/>
      <c r="V35" s="45"/>
      <c r="W35" s="52"/>
      <c r="X35" s="58"/>
      <c r="Y35" s="58"/>
      <c r="Z35" s="58"/>
      <c r="AA35" s="58"/>
      <c r="AB35" s="58"/>
      <c r="AC35" s="58"/>
    </row>
    <row r="36" spans="1:29" ht="12.75" customHeight="1">
      <c r="A36" s="7" t="s">
        <v>24</v>
      </c>
      <c r="B36" s="7"/>
      <c r="C36" s="55"/>
      <c r="D36" s="45"/>
      <c r="E36" s="46"/>
      <c r="F36" s="459"/>
      <c r="G36" s="46"/>
      <c r="H36" s="1"/>
      <c r="I36" s="481"/>
      <c r="J36" s="54"/>
      <c r="K36" s="54"/>
      <c r="L36" s="69"/>
      <c r="M36" s="54"/>
      <c r="N36" s="58"/>
      <c r="O36" s="56"/>
      <c r="P36" s="490"/>
      <c r="Q36" s="56"/>
      <c r="R36" s="569"/>
      <c r="S36" s="55"/>
      <c r="T36" s="54"/>
      <c r="U36" s="54"/>
      <c r="V36" s="45"/>
      <c r="W36" s="52"/>
      <c r="X36" s="58"/>
      <c r="Y36" s="58"/>
      <c r="Z36" s="58"/>
      <c r="AA36" s="58"/>
      <c r="AB36" s="58"/>
      <c r="AC36" s="58"/>
    </row>
    <row r="37" spans="1:29" ht="12.75" customHeight="1">
      <c r="A37" s="8"/>
      <c r="B37" s="7" t="s">
        <v>25</v>
      </c>
      <c r="C37" s="55">
        <f>F37-J37</f>
        <v>5470</v>
      </c>
      <c r="D37" s="45">
        <f>C37/J37</f>
        <v>0.12467804800218814</v>
      </c>
      <c r="E37" s="46"/>
      <c r="F37" s="55">
        <v>49343</v>
      </c>
      <c r="G37" s="54">
        <v>49108</v>
      </c>
      <c r="H37" s="54">
        <v>48274</v>
      </c>
      <c r="I37" s="56">
        <v>50069</v>
      </c>
      <c r="J37" s="54">
        <v>43873</v>
      </c>
      <c r="K37" s="54">
        <v>44191</v>
      </c>
      <c r="L37" s="54">
        <v>44548</v>
      </c>
      <c r="M37" s="54">
        <v>45183.714</v>
      </c>
      <c r="N37" s="58">
        <v>45973.119</v>
      </c>
      <c r="O37" s="56">
        <v>46320.542</v>
      </c>
      <c r="P37" s="56">
        <v>46199.726</v>
      </c>
      <c r="Q37" s="56">
        <v>45906.368</v>
      </c>
      <c r="R37" s="569"/>
      <c r="S37" s="55">
        <f t="shared" si="0"/>
        <v>49343</v>
      </c>
      <c r="T37" s="54">
        <f t="shared" si="1"/>
        <v>43873</v>
      </c>
      <c r="U37" s="54">
        <f t="shared" si="2"/>
        <v>5470</v>
      </c>
      <c r="V37" s="45">
        <f t="shared" si="3"/>
        <v>0.12467804800218814</v>
      </c>
      <c r="W37" s="52"/>
      <c r="X37" s="58">
        <f>F37</f>
        <v>49343</v>
      </c>
      <c r="Y37" s="58">
        <v>43873</v>
      </c>
      <c r="Z37" s="58">
        <v>45973.119</v>
      </c>
      <c r="AA37" s="58">
        <v>45746.033</v>
      </c>
      <c r="AB37" s="58">
        <v>45413.311</v>
      </c>
      <c r="AC37" s="58">
        <v>29983</v>
      </c>
    </row>
    <row r="38" spans="1:29" ht="12.75" customHeight="1">
      <c r="A38" s="8"/>
      <c r="B38" s="7" t="s">
        <v>26</v>
      </c>
      <c r="C38" s="55">
        <f>F38-J38</f>
        <v>7258</v>
      </c>
      <c r="D38" s="45">
        <f>C38/J38</f>
        <v>0.151729904881363</v>
      </c>
      <c r="E38" s="46"/>
      <c r="F38" s="55">
        <v>55093</v>
      </c>
      <c r="G38" s="54">
        <v>54636</v>
      </c>
      <c r="H38" s="54">
        <v>54553</v>
      </c>
      <c r="I38" s="56">
        <v>54591</v>
      </c>
      <c r="J38" s="54">
        <v>47835</v>
      </c>
      <c r="K38" s="54">
        <v>47835</v>
      </c>
      <c r="L38" s="54">
        <v>47866</v>
      </c>
      <c r="M38" s="54">
        <v>47864.234</v>
      </c>
      <c r="N38" s="58">
        <v>47831.961</v>
      </c>
      <c r="O38" s="56">
        <v>47831.203</v>
      </c>
      <c r="P38" s="56">
        <v>47827.35</v>
      </c>
      <c r="Q38" s="56">
        <v>47827.35</v>
      </c>
      <c r="R38" s="569"/>
      <c r="S38" s="55">
        <f t="shared" si="0"/>
        <v>55093</v>
      </c>
      <c r="T38" s="54">
        <f t="shared" si="1"/>
        <v>47835</v>
      </c>
      <c r="U38" s="54">
        <f t="shared" si="2"/>
        <v>7258</v>
      </c>
      <c r="V38" s="45">
        <f t="shared" si="3"/>
        <v>0.151729904881363</v>
      </c>
      <c r="W38" s="52"/>
      <c r="X38" s="58">
        <f>F38</f>
        <v>55093</v>
      </c>
      <c r="Y38" s="58">
        <v>47835</v>
      </c>
      <c r="Z38" s="58">
        <v>47831.961</v>
      </c>
      <c r="AA38" s="58">
        <v>47827.35</v>
      </c>
      <c r="AB38" s="58">
        <v>46129.268</v>
      </c>
      <c r="AC38" s="58">
        <v>38089</v>
      </c>
    </row>
    <row r="39" spans="1:29" ht="12.75" customHeight="1">
      <c r="A39" s="8"/>
      <c r="B39" s="7" t="s">
        <v>27</v>
      </c>
      <c r="C39" s="55">
        <f>F39-J39</f>
        <v>7695</v>
      </c>
      <c r="D39" s="45">
        <f>C39/J39</f>
        <v>0.155278876422633</v>
      </c>
      <c r="E39" s="46"/>
      <c r="F39" s="55">
        <v>57251</v>
      </c>
      <c r="G39" s="54">
        <v>56210</v>
      </c>
      <c r="H39" s="54">
        <v>57981</v>
      </c>
      <c r="I39" s="56">
        <v>57466</v>
      </c>
      <c r="J39" s="54">
        <v>49556</v>
      </c>
      <c r="K39" s="54">
        <v>49096</v>
      </c>
      <c r="L39" s="54">
        <v>48830</v>
      </c>
      <c r="M39" s="54">
        <v>48872.327</v>
      </c>
      <c r="N39" s="58">
        <v>48084.304</v>
      </c>
      <c r="O39" s="56">
        <v>48045.762</v>
      </c>
      <c r="P39" s="56">
        <v>47962</v>
      </c>
      <c r="Q39" s="56">
        <v>47950.568</v>
      </c>
      <c r="R39" s="569"/>
      <c r="S39" s="55">
        <f t="shared" si="0"/>
        <v>57251</v>
      </c>
      <c r="T39" s="54">
        <f t="shared" si="1"/>
        <v>49556</v>
      </c>
      <c r="U39" s="54">
        <f t="shared" si="2"/>
        <v>7695</v>
      </c>
      <c r="V39" s="45">
        <f t="shared" si="3"/>
        <v>0.155278876422633</v>
      </c>
      <c r="W39" s="52"/>
      <c r="X39" s="58">
        <f>F39</f>
        <v>57251</v>
      </c>
      <c r="Y39" s="58">
        <v>49556</v>
      </c>
      <c r="Z39" s="58">
        <v>48084.304</v>
      </c>
      <c r="AA39" s="58">
        <v>48017.401</v>
      </c>
      <c r="AB39" s="58">
        <v>46129.268</v>
      </c>
      <c r="AC39" s="58">
        <v>38089</v>
      </c>
    </row>
    <row r="40" spans="1:29" ht="12.75" customHeight="1">
      <c r="A40" s="8"/>
      <c r="B40" s="7" t="s">
        <v>28</v>
      </c>
      <c r="C40" s="55">
        <f>F40-J40</f>
        <v>5187</v>
      </c>
      <c r="D40" s="45">
        <f>C40/J40</f>
        <v>0.11744594135627759</v>
      </c>
      <c r="E40" s="46"/>
      <c r="F40" s="55">
        <v>49352</v>
      </c>
      <c r="G40" s="54">
        <v>49073</v>
      </c>
      <c r="H40" s="54">
        <v>49021</v>
      </c>
      <c r="I40" s="56">
        <v>47519</v>
      </c>
      <c r="J40" s="54">
        <v>44165</v>
      </c>
      <c r="K40" s="54">
        <v>44442</v>
      </c>
      <c r="L40" s="54">
        <v>44972</v>
      </c>
      <c r="M40" s="54">
        <v>45170.532</v>
      </c>
      <c r="N40" s="58">
        <v>45970.574</v>
      </c>
      <c r="O40" s="56">
        <v>46273.768</v>
      </c>
      <c r="P40" s="56">
        <v>46152.802</v>
      </c>
      <c r="Q40" s="56">
        <v>45906.368</v>
      </c>
      <c r="R40" s="569"/>
      <c r="S40" s="55">
        <f t="shared" si="0"/>
        <v>48929</v>
      </c>
      <c r="T40" s="54">
        <f t="shared" si="1"/>
        <v>44778</v>
      </c>
      <c r="U40" s="54">
        <f t="shared" si="2"/>
        <v>4151</v>
      </c>
      <c r="V40" s="45">
        <f t="shared" si="3"/>
        <v>0.0927017731921926</v>
      </c>
      <c r="W40" s="52"/>
      <c r="X40" s="58">
        <v>48929</v>
      </c>
      <c r="Y40" s="58">
        <v>44778</v>
      </c>
      <c r="Z40" s="58">
        <v>45969.346</v>
      </c>
      <c r="AA40" s="58">
        <v>44606.134</v>
      </c>
      <c r="AB40" s="58">
        <v>41634.92</v>
      </c>
      <c r="AC40" s="58">
        <v>28298</v>
      </c>
    </row>
    <row r="41" spans="1:29" ht="12.75" customHeight="1">
      <c r="A41" s="8"/>
      <c r="B41" s="7" t="s">
        <v>29</v>
      </c>
      <c r="C41" s="55">
        <f>F41-J41</f>
        <v>6258</v>
      </c>
      <c r="D41" s="45">
        <f>C41/J41</f>
        <v>0.1290575376366261</v>
      </c>
      <c r="E41" s="46"/>
      <c r="F41" s="55">
        <v>54748</v>
      </c>
      <c r="G41" s="54">
        <v>55219</v>
      </c>
      <c r="H41" s="54">
        <v>55139</v>
      </c>
      <c r="I41" s="56">
        <v>52720</v>
      </c>
      <c r="J41" s="54">
        <v>48490</v>
      </c>
      <c r="K41" s="54">
        <v>48324</v>
      </c>
      <c r="L41" s="54">
        <v>48270</v>
      </c>
      <c r="M41" s="54">
        <v>48859.145</v>
      </c>
      <c r="N41" s="58">
        <v>48081.759</v>
      </c>
      <c r="O41" s="56">
        <v>48045.762</v>
      </c>
      <c r="P41" s="56">
        <v>47961.594</v>
      </c>
      <c r="Q41" s="56">
        <v>47998.175</v>
      </c>
      <c r="R41" s="569"/>
      <c r="S41" s="55">
        <f t="shared" si="0"/>
        <v>54189</v>
      </c>
      <c r="T41" s="54">
        <f t="shared" si="1"/>
        <v>48727</v>
      </c>
      <c r="U41" s="54">
        <f t="shared" si="2"/>
        <v>5462</v>
      </c>
      <c r="V41" s="45">
        <f t="shared" si="3"/>
        <v>0.11209391097338231</v>
      </c>
      <c r="W41" s="52"/>
      <c r="X41" s="58">
        <v>54189</v>
      </c>
      <c r="Y41" s="58">
        <v>48727</v>
      </c>
      <c r="Z41" s="58">
        <v>48080.531</v>
      </c>
      <c r="AA41" s="58">
        <v>46699.304</v>
      </c>
      <c r="AB41" s="58">
        <v>44188.297</v>
      </c>
      <c r="AC41" s="58">
        <v>37096</v>
      </c>
    </row>
    <row r="42" spans="1:29" ht="9.75" customHeight="1">
      <c r="A42" s="8"/>
      <c r="B42" s="7"/>
      <c r="C42" s="55"/>
      <c r="D42" s="45"/>
      <c r="E42" s="46"/>
      <c r="F42" s="459"/>
      <c r="G42" s="46"/>
      <c r="H42" s="1"/>
      <c r="I42" s="481"/>
      <c r="J42" s="1"/>
      <c r="K42" s="1"/>
      <c r="L42" s="1"/>
      <c r="M42" s="1"/>
      <c r="N42" s="561"/>
      <c r="O42" s="68"/>
      <c r="P42" s="68"/>
      <c r="Q42" s="68"/>
      <c r="R42" s="569"/>
      <c r="S42" s="55"/>
      <c r="T42" s="54"/>
      <c r="U42" s="54"/>
      <c r="V42" s="45"/>
      <c r="W42" s="52"/>
      <c r="X42" s="58"/>
      <c r="Y42" s="58"/>
      <c r="Z42" s="58"/>
      <c r="AA42" s="58"/>
      <c r="AB42" s="58"/>
      <c r="AC42" s="58"/>
    </row>
    <row r="43" spans="1:29" ht="12.75" customHeight="1">
      <c r="A43" s="7" t="s">
        <v>30</v>
      </c>
      <c r="B43" s="7"/>
      <c r="C43" s="55">
        <f>F43-J43</f>
        <v>-176493.39999999997</v>
      </c>
      <c r="D43" s="45">
        <f>C43/J43</f>
        <v>-0.3634177619712022</v>
      </c>
      <c r="E43" s="46"/>
      <c r="F43" s="59">
        <f>F34*F39</f>
        <v>309155.4</v>
      </c>
      <c r="G43" s="70">
        <v>227088.4</v>
      </c>
      <c r="H43" s="70">
        <v>462688.38</v>
      </c>
      <c r="I43" s="71">
        <v>456854.7</v>
      </c>
      <c r="J43" s="70">
        <v>485648.8</v>
      </c>
      <c r="K43" s="70">
        <v>751168.8</v>
      </c>
      <c r="L43" s="70">
        <v>926793.4</v>
      </c>
      <c r="M43" s="70">
        <v>1018010.5714099999</v>
      </c>
      <c r="N43" s="72">
        <v>1063624.80448</v>
      </c>
      <c r="O43" s="71">
        <v>893651.1732000001</v>
      </c>
      <c r="P43" s="71">
        <v>820150</v>
      </c>
      <c r="Q43" s="71">
        <v>849684.06496</v>
      </c>
      <c r="R43" s="569"/>
      <c r="S43" s="55">
        <f t="shared" si="0"/>
        <v>309155.4</v>
      </c>
      <c r="T43" s="54">
        <f t="shared" si="1"/>
        <v>485648.8</v>
      </c>
      <c r="U43" s="54">
        <f t="shared" si="2"/>
        <v>-176493.39999999997</v>
      </c>
      <c r="V43" s="45">
        <f t="shared" si="3"/>
        <v>-0.3634177619712022</v>
      </c>
      <c r="W43" s="52"/>
      <c r="X43" s="58">
        <f>F43</f>
        <v>309155.4</v>
      </c>
      <c r="Y43" s="58">
        <v>485648.8</v>
      </c>
      <c r="Z43" s="72">
        <v>1063624.80448</v>
      </c>
      <c r="AA43" s="72">
        <v>998761.9408</v>
      </c>
      <c r="AB43" s="72">
        <v>483434.72864</v>
      </c>
      <c r="AC43" s="72" t="s">
        <v>54</v>
      </c>
    </row>
    <row r="44" spans="1:29" ht="9.75" customHeight="1">
      <c r="A44" s="8"/>
      <c r="B44" s="7"/>
      <c r="C44" s="55"/>
      <c r="D44" s="45"/>
      <c r="E44" s="46"/>
      <c r="F44" s="459"/>
      <c r="G44" s="46"/>
      <c r="H44" s="1"/>
      <c r="I44" s="481"/>
      <c r="J44" s="73"/>
      <c r="K44" s="73"/>
      <c r="L44" s="73"/>
      <c r="M44" s="73"/>
      <c r="N44" s="76"/>
      <c r="O44" s="491"/>
      <c r="P44" s="491"/>
      <c r="Q44" s="75"/>
      <c r="R44" s="569"/>
      <c r="S44" s="74">
        <f t="shared" si="0"/>
        <v>0</v>
      </c>
      <c r="T44" s="73">
        <f t="shared" si="1"/>
        <v>0</v>
      </c>
      <c r="U44" s="73"/>
      <c r="V44" s="83"/>
      <c r="W44" s="52"/>
      <c r="X44" s="76"/>
      <c r="Y44" s="76"/>
      <c r="Z44" s="76"/>
      <c r="AA44" s="76"/>
      <c r="AB44" s="76"/>
      <c r="AC44" s="76"/>
    </row>
    <row r="45" spans="1:29" ht="12.75" customHeight="1">
      <c r="A45" s="227" t="s">
        <v>31</v>
      </c>
      <c r="B45" s="7"/>
      <c r="C45" s="55"/>
      <c r="D45" s="45"/>
      <c r="E45" s="46"/>
      <c r="F45" s="459"/>
      <c r="G45" s="46"/>
      <c r="H45" s="1"/>
      <c r="I45" s="481"/>
      <c r="J45" s="77"/>
      <c r="K45" s="73"/>
      <c r="L45" s="73"/>
      <c r="M45" s="73"/>
      <c r="N45" s="76"/>
      <c r="O45" s="491"/>
      <c r="P45" s="491"/>
      <c r="Q45" s="75"/>
      <c r="R45" s="569"/>
      <c r="S45" s="74">
        <f t="shared" si="0"/>
        <v>0</v>
      </c>
      <c r="T45" s="73">
        <f t="shared" si="1"/>
        <v>0</v>
      </c>
      <c r="U45" s="73"/>
      <c r="V45" s="83"/>
      <c r="W45" s="52"/>
      <c r="X45" s="76"/>
      <c r="Y45" s="76"/>
      <c r="Z45" s="76"/>
      <c r="AA45" s="76" t="s">
        <v>56</v>
      </c>
      <c r="AB45" s="76"/>
      <c r="AC45" s="76"/>
    </row>
    <row r="46" spans="1:29" ht="12.75" customHeight="1">
      <c r="A46" s="7"/>
      <c r="B46" s="7" t="s">
        <v>32</v>
      </c>
      <c r="C46" s="486">
        <f>F46-J46</f>
        <v>-0.125</v>
      </c>
      <c r="D46" s="45">
        <f>C46/J46</f>
        <v>-1</v>
      </c>
      <c r="E46" s="46"/>
      <c r="F46" s="477">
        <v>0</v>
      </c>
      <c r="G46" s="80">
        <v>0</v>
      </c>
      <c r="H46" s="80">
        <v>0</v>
      </c>
      <c r="I46" s="483">
        <v>0.125</v>
      </c>
      <c r="J46" s="78">
        <v>0.125</v>
      </c>
      <c r="K46" s="78">
        <v>0.125</v>
      </c>
      <c r="L46" s="36">
        <v>0.125</v>
      </c>
      <c r="M46" s="36">
        <v>0.125</v>
      </c>
      <c r="N46" s="47">
        <v>0.1</v>
      </c>
      <c r="O46" s="61">
        <v>0.1</v>
      </c>
      <c r="P46" s="61">
        <v>0.08</v>
      </c>
      <c r="Q46" s="79">
        <v>0.08</v>
      </c>
      <c r="R46" s="569"/>
      <c r="S46" s="494">
        <f t="shared" si="0"/>
        <v>0.125</v>
      </c>
      <c r="T46" s="495">
        <f t="shared" si="1"/>
        <v>0.5</v>
      </c>
      <c r="U46" s="50">
        <f>S46-T46</f>
        <v>-0.375</v>
      </c>
      <c r="V46" s="83">
        <f>U46/T46</f>
        <v>-0.75</v>
      </c>
      <c r="W46" s="52"/>
      <c r="X46" s="572">
        <f>F46+G46+H46+I46</f>
        <v>0.125</v>
      </c>
      <c r="Y46" s="47">
        <v>0.5</v>
      </c>
      <c r="Z46" s="47">
        <v>0.36</v>
      </c>
      <c r="AA46" s="47">
        <v>0.28</v>
      </c>
      <c r="AB46" s="47">
        <v>0.26</v>
      </c>
      <c r="AC46" s="47">
        <v>0</v>
      </c>
    </row>
    <row r="47" spans="1:29" ht="12.75" customHeight="1">
      <c r="A47" s="7"/>
      <c r="B47" s="7" t="s">
        <v>33</v>
      </c>
      <c r="C47" s="477" t="s">
        <v>54</v>
      </c>
      <c r="D47" s="45" t="s">
        <v>54</v>
      </c>
      <c r="E47" s="46"/>
      <c r="F47" s="477">
        <v>0</v>
      </c>
      <c r="G47" s="80">
        <v>0</v>
      </c>
      <c r="H47" s="80">
        <v>0</v>
      </c>
      <c r="I47" s="458">
        <v>0</v>
      </c>
      <c r="J47" s="80">
        <v>0</v>
      </c>
      <c r="K47" s="50">
        <v>0</v>
      </c>
      <c r="L47" s="50">
        <v>0</v>
      </c>
      <c r="M47" s="80">
        <v>0</v>
      </c>
      <c r="N47" s="47">
        <v>0</v>
      </c>
      <c r="O47" s="61">
        <v>0</v>
      </c>
      <c r="P47" s="61">
        <v>0</v>
      </c>
      <c r="Q47" s="61">
        <v>0</v>
      </c>
      <c r="R47" s="569"/>
      <c r="S47" s="60"/>
      <c r="T47" s="50"/>
      <c r="U47" s="50">
        <f>K47+J47</f>
        <v>0</v>
      </c>
      <c r="V47" s="61">
        <f>L47+K47</f>
        <v>0</v>
      </c>
      <c r="W47" s="52"/>
      <c r="X47" s="47">
        <v>0</v>
      </c>
      <c r="Y47" s="47">
        <v>0</v>
      </c>
      <c r="Z47" s="47">
        <v>0</v>
      </c>
      <c r="AA47" s="47">
        <v>0</v>
      </c>
      <c r="AB47" s="47">
        <v>0.15</v>
      </c>
      <c r="AC47" s="47">
        <v>0</v>
      </c>
    </row>
    <row r="48" spans="1:29" ht="12.75" customHeight="1">
      <c r="A48" s="10"/>
      <c r="B48" s="11" t="s">
        <v>34</v>
      </c>
      <c r="C48" s="53">
        <f>(F48-J48)*100</f>
        <v>-5.1</v>
      </c>
      <c r="D48" s="45"/>
      <c r="E48" s="46"/>
      <c r="F48" s="477">
        <v>0</v>
      </c>
      <c r="G48" s="80">
        <v>0</v>
      </c>
      <c r="H48" s="80">
        <v>0</v>
      </c>
      <c r="I48" s="45">
        <v>0.0629</v>
      </c>
      <c r="J48" s="46">
        <v>0.051</v>
      </c>
      <c r="K48" s="52">
        <v>0.033</v>
      </c>
      <c r="L48" s="52">
        <v>0.0263</v>
      </c>
      <c r="M48" s="81">
        <v>0.024</v>
      </c>
      <c r="N48" s="49">
        <v>0.018</v>
      </c>
      <c r="O48" s="83">
        <v>0.022</v>
      </c>
      <c r="P48" s="83">
        <v>0.019</v>
      </c>
      <c r="Q48" s="75">
        <v>0.018</v>
      </c>
      <c r="R48" s="569"/>
      <c r="S48" s="477">
        <f t="shared" si="0"/>
        <v>0.023</v>
      </c>
      <c r="T48" s="52">
        <f t="shared" si="1"/>
        <v>0.051</v>
      </c>
      <c r="U48" s="430">
        <f>(S48-T48)*100</f>
        <v>-2.8</v>
      </c>
      <c r="V48" s="83"/>
      <c r="W48" s="52"/>
      <c r="X48" s="48">
        <v>0.023</v>
      </c>
      <c r="Y48" s="48">
        <v>0.051</v>
      </c>
      <c r="Z48" s="48">
        <v>0.016</v>
      </c>
      <c r="AA48" s="48">
        <v>0.013</v>
      </c>
      <c r="AB48" s="49">
        <v>0.0248</v>
      </c>
      <c r="AC48" s="47">
        <v>0</v>
      </c>
    </row>
    <row r="49" spans="1:29" ht="12.75" customHeight="1">
      <c r="A49" s="10"/>
      <c r="B49" s="11" t="s">
        <v>35</v>
      </c>
      <c r="C49" s="53">
        <f>(F49-J49)*100</f>
        <v>17.599999999999998</v>
      </c>
      <c r="D49" s="45"/>
      <c r="E49" s="46"/>
      <c r="F49" s="477">
        <v>0</v>
      </c>
      <c r="G49" s="80">
        <v>0</v>
      </c>
      <c r="H49" s="80">
        <v>0</v>
      </c>
      <c r="I49" s="45">
        <v>0.436</v>
      </c>
      <c r="J49" s="46">
        <v>-0.176</v>
      </c>
      <c r="K49" s="52">
        <v>0.408</v>
      </c>
      <c r="L49" s="52">
        <v>0.492</v>
      </c>
      <c r="M49" s="52">
        <v>0.157</v>
      </c>
      <c r="N49" s="49">
        <v>0.185</v>
      </c>
      <c r="O49" s="83">
        <v>0.203</v>
      </c>
      <c r="P49" s="83">
        <v>0.216</v>
      </c>
      <c r="Q49" s="83">
        <v>0.148</v>
      </c>
      <c r="R49" s="569"/>
      <c r="S49" s="477">
        <f t="shared" si="0"/>
        <v>-0.151</v>
      </c>
      <c r="T49" s="52">
        <f t="shared" si="1"/>
        <v>0.783</v>
      </c>
      <c r="U49" s="430">
        <f>(S49-T49)*100</f>
        <v>-93.4</v>
      </c>
      <c r="V49" s="83"/>
      <c r="W49" s="52"/>
      <c r="X49" s="49">
        <v>-0.151</v>
      </c>
      <c r="Y49" s="49">
        <v>0.783</v>
      </c>
      <c r="Z49" s="49">
        <v>0.185</v>
      </c>
      <c r="AA49" s="49">
        <v>0.162</v>
      </c>
      <c r="AB49" s="49">
        <v>0.247</v>
      </c>
      <c r="AC49" s="47">
        <v>0</v>
      </c>
    </row>
    <row r="50" spans="1:29" ht="12.75" customHeight="1">
      <c r="A50" s="10"/>
      <c r="B50" s="11" t="s">
        <v>36</v>
      </c>
      <c r="C50" s="53">
        <f>(F50-J50)*100</f>
        <v>69.6</v>
      </c>
      <c r="D50" s="45"/>
      <c r="E50" s="46"/>
      <c r="F50" s="459">
        <v>0.337</v>
      </c>
      <c r="G50" s="46">
        <v>-0.494</v>
      </c>
      <c r="H50" s="52">
        <v>0.004</v>
      </c>
      <c r="I50" s="83">
        <v>-0.178</v>
      </c>
      <c r="J50" s="46">
        <v>-0.359</v>
      </c>
      <c r="K50" s="52">
        <v>-0.194</v>
      </c>
      <c r="L50" s="52">
        <v>-0.089</v>
      </c>
      <c r="M50" s="52">
        <v>-0.054</v>
      </c>
      <c r="N50" s="49">
        <v>0.195</v>
      </c>
      <c r="O50" s="83">
        <v>0.092</v>
      </c>
      <c r="P50" s="83">
        <v>-0.031</v>
      </c>
      <c r="Q50" s="83">
        <v>-0.144</v>
      </c>
      <c r="R50" s="569"/>
      <c r="S50" s="82">
        <f t="shared" si="0"/>
        <v>-0.442</v>
      </c>
      <c r="T50" s="52">
        <f t="shared" si="1"/>
        <v>-0.555</v>
      </c>
      <c r="U50" s="430">
        <f>(S50-T50)*100</f>
        <v>11.300000000000004</v>
      </c>
      <c r="V50" s="83"/>
      <c r="W50" s="52"/>
      <c r="X50" s="49">
        <v>-0.442</v>
      </c>
      <c r="Y50" s="49">
        <v>-0.555</v>
      </c>
      <c r="Z50" s="49">
        <v>0.083</v>
      </c>
      <c r="AA50" s="49">
        <v>1.034</v>
      </c>
      <c r="AB50" s="49">
        <v>0.055</v>
      </c>
      <c r="AC50" s="47">
        <v>0</v>
      </c>
    </row>
    <row r="51" spans="1:29" ht="12.75" customHeight="1">
      <c r="A51" s="11"/>
      <c r="B51" s="11" t="s">
        <v>237</v>
      </c>
      <c r="C51" s="53">
        <f>(F51-J51)*100</f>
        <v>41.8</v>
      </c>
      <c r="D51" s="45"/>
      <c r="E51" s="46"/>
      <c r="F51" s="82">
        <v>0.04</v>
      </c>
      <c r="G51" s="52">
        <v>-0.643</v>
      </c>
      <c r="H51" s="52">
        <v>-0.05</v>
      </c>
      <c r="I51" s="83">
        <v>0.1566</v>
      </c>
      <c r="J51" s="52">
        <v>-0.378</v>
      </c>
      <c r="K51" s="52">
        <v>0.162</v>
      </c>
      <c r="L51" s="52">
        <v>0.128</v>
      </c>
      <c r="M51" s="52">
        <v>0.412</v>
      </c>
      <c r="N51" s="49">
        <v>0.29</v>
      </c>
      <c r="O51" s="83">
        <v>0.276</v>
      </c>
      <c r="P51" s="83">
        <v>0.2214</v>
      </c>
      <c r="Q51" s="83">
        <v>0.347</v>
      </c>
      <c r="R51" s="569"/>
      <c r="S51" s="82">
        <f t="shared" si="0"/>
        <v>-0.124</v>
      </c>
      <c r="T51" s="52">
        <f t="shared" si="1"/>
        <v>0.079</v>
      </c>
      <c r="U51" s="430">
        <f>(S51-T51)*100</f>
        <v>-20.3</v>
      </c>
      <c r="V51" s="83"/>
      <c r="W51" s="52"/>
      <c r="X51" s="49">
        <v>-0.124</v>
      </c>
      <c r="Y51" s="49">
        <v>0.079</v>
      </c>
      <c r="Z51" s="49">
        <v>0.284</v>
      </c>
      <c r="AA51" s="49">
        <v>0.336</v>
      </c>
      <c r="AB51" s="49">
        <v>0.239</v>
      </c>
      <c r="AC51" s="49">
        <v>0.43465</v>
      </c>
    </row>
    <row r="52" spans="1:29" ht="12.75" customHeight="1">
      <c r="A52" s="7"/>
      <c r="B52" s="7" t="s">
        <v>37</v>
      </c>
      <c r="C52" s="100">
        <f>F52-J52</f>
        <v>-10.100000000000001</v>
      </c>
      <c r="D52" s="45">
        <f>C52/J52</f>
        <v>-0.639240506329114</v>
      </c>
      <c r="E52" s="46"/>
      <c r="F52" s="85">
        <v>5.7</v>
      </c>
      <c r="G52" s="84">
        <v>-10.9</v>
      </c>
      <c r="H52" s="534">
        <v>8.1</v>
      </c>
      <c r="I52" s="484">
        <v>7.3</v>
      </c>
      <c r="J52" s="84">
        <v>15.8</v>
      </c>
      <c r="K52" s="84">
        <v>7.8</v>
      </c>
      <c r="L52" s="84">
        <v>8.9</v>
      </c>
      <c r="M52" s="84">
        <v>9.5</v>
      </c>
      <c r="N52" s="87">
        <v>11.4</v>
      </c>
      <c r="O52" s="86">
        <v>9.2</v>
      </c>
      <c r="P52" s="86">
        <v>8.3</v>
      </c>
      <c r="Q52" s="86">
        <v>8.7</v>
      </c>
      <c r="R52" s="569"/>
      <c r="S52" s="85">
        <f t="shared" si="0"/>
        <v>5.7</v>
      </c>
      <c r="T52" s="84">
        <f t="shared" si="1"/>
        <v>15.8</v>
      </c>
      <c r="U52" s="84">
        <f>(S52-T52)</f>
        <v>-10.100000000000001</v>
      </c>
      <c r="V52" s="83">
        <f>U52/T52</f>
        <v>-0.639240506329114</v>
      </c>
      <c r="W52" s="52"/>
      <c r="X52" s="87">
        <f>F52</f>
        <v>5.7</v>
      </c>
      <c r="Y52" s="87">
        <v>15.8</v>
      </c>
      <c r="Z52" s="87">
        <v>11.4</v>
      </c>
      <c r="AA52" s="87">
        <v>12</v>
      </c>
      <c r="AB52" s="87">
        <v>9.5273</v>
      </c>
      <c r="AC52" s="47">
        <v>0</v>
      </c>
    </row>
    <row r="53" spans="1:29" ht="12.75" customHeight="1">
      <c r="A53" s="7"/>
      <c r="B53" s="7" t="s">
        <v>38</v>
      </c>
      <c r="C53" s="100">
        <f>F53-J53</f>
        <v>-0.58</v>
      </c>
      <c r="D53" s="45">
        <f>C53/J53</f>
        <v>-0.41428571428571426</v>
      </c>
      <c r="E53" s="46"/>
      <c r="F53" s="85">
        <v>0.82</v>
      </c>
      <c r="G53" s="84">
        <v>0.63</v>
      </c>
      <c r="H53" s="84">
        <v>1.1</v>
      </c>
      <c r="I53" s="86">
        <v>1.04</v>
      </c>
      <c r="J53" s="84">
        <v>1.4</v>
      </c>
      <c r="K53" s="84">
        <v>1.9</v>
      </c>
      <c r="L53" s="84">
        <v>2.4</v>
      </c>
      <c r="M53" s="84">
        <v>2.6</v>
      </c>
      <c r="N53" s="87">
        <v>2.9</v>
      </c>
      <c r="O53" s="86">
        <v>2.5</v>
      </c>
      <c r="P53" s="86">
        <v>2.5</v>
      </c>
      <c r="Q53" s="86">
        <v>2.7</v>
      </c>
      <c r="R53" s="569"/>
      <c r="S53" s="85">
        <f t="shared" si="0"/>
        <v>0.82</v>
      </c>
      <c r="T53" s="84">
        <f t="shared" si="1"/>
        <v>1.4</v>
      </c>
      <c r="U53" s="84">
        <f>(S53-T53)</f>
        <v>-0.58</v>
      </c>
      <c r="V53" s="83">
        <f>U53/T53</f>
        <v>-0.41428571428571426</v>
      </c>
      <c r="W53" s="52"/>
      <c r="X53" s="87">
        <f>F53</f>
        <v>0.82</v>
      </c>
      <c r="Y53" s="87">
        <v>1.4</v>
      </c>
      <c r="Z53" s="87">
        <v>2.9</v>
      </c>
      <c r="AA53" s="87">
        <v>3.5</v>
      </c>
      <c r="AB53" s="87">
        <v>2.18</v>
      </c>
      <c r="AC53" s="47">
        <v>0</v>
      </c>
    </row>
    <row r="54" spans="1:29" ht="9.75" customHeight="1">
      <c r="A54" s="2"/>
      <c r="B54" s="2"/>
      <c r="C54" s="89"/>
      <c r="D54" s="91"/>
      <c r="E54" s="96"/>
      <c r="F54" s="89"/>
      <c r="G54" s="90"/>
      <c r="H54" s="551"/>
      <c r="I54" s="91"/>
      <c r="J54" s="90"/>
      <c r="K54" s="90"/>
      <c r="L54" s="90"/>
      <c r="M54" s="91"/>
      <c r="N54" s="88"/>
      <c r="O54" s="91"/>
      <c r="P54" s="91"/>
      <c r="Q54" s="91"/>
      <c r="R54" s="569"/>
      <c r="S54" s="431"/>
      <c r="T54" s="432"/>
      <c r="U54" s="517"/>
      <c r="V54" s="398"/>
      <c r="W54" s="57"/>
      <c r="X54" s="89"/>
      <c r="Y54" s="89"/>
      <c r="Z54" s="88"/>
      <c r="AA54" s="439"/>
      <c r="AB54" s="439"/>
      <c r="AC54" s="439"/>
    </row>
    <row r="55" spans="1:29" ht="9.75" customHeight="1">
      <c r="A55" s="2"/>
      <c r="B55" s="2"/>
      <c r="C55" s="57"/>
      <c r="D55" s="57"/>
      <c r="E55" s="96"/>
      <c r="F55" s="96"/>
      <c r="G55" s="96"/>
      <c r="H55" s="1"/>
      <c r="I55" s="96"/>
      <c r="J55" s="96"/>
      <c r="K55" s="96"/>
      <c r="L55" s="57"/>
      <c r="M55" s="57"/>
      <c r="N55" s="57"/>
      <c r="O55" s="57"/>
      <c r="P55" s="57"/>
      <c r="Q55" s="57"/>
      <c r="R55" s="57"/>
      <c r="S55" s="57"/>
      <c r="T55" s="57"/>
      <c r="U55" s="57"/>
      <c r="V55" s="57"/>
      <c r="W55" s="57"/>
      <c r="X55" s="57"/>
      <c r="Y55" s="57"/>
      <c r="Z55" s="57"/>
      <c r="AA55" s="354"/>
      <c r="AB55" s="354"/>
      <c r="AC55" s="354"/>
    </row>
    <row r="56" spans="1:29" ht="18" customHeight="1">
      <c r="A56" s="12" t="s">
        <v>280</v>
      </c>
      <c r="B56" s="2"/>
      <c r="C56" s="57"/>
      <c r="D56" s="57"/>
      <c r="E56" s="96"/>
      <c r="F56" s="96"/>
      <c r="G56" s="96"/>
      <c r="H56" s="1"/>
      <c r="I56" s="96"/>
      <c r="J56" s="96"/>
      <c r="K56" s="96"/>
      <c r="L56" s="57"/>
      <c r="M56" s="57"/>
      <c r="N56" s="57"/>
      <c r="O56" s="57"/>
      <c r="P56" s="57"/>
      <c r="Q56" s="57"/>
      <c r="R56" s="57"/>
      <c r="S56" s="57"/>
      <c r="T56" s="57"/>
      <c r="U56" s="57"/>
      <c r="V56" s="57"/>
      <c r="W56" s="57"/>
      <c r="X56" s="57"/>
      <c r="Y56" s="57"/>
      <c r="Z56" s="57"/>
      <c r="AA56" s="354"/>
      <c r="AB56" s="354"/>
      <c r="AC56" s="354"/>
    </row>
    <row r="57" spans="1:29" ht="9.75" customHeight="1">
      <c r="A57" s="12"/>
      <c r="B57" s="2"/>
      <c r="C57" s="57"/>
      <c r="D57" s="57"/>
      <c r="E57" s="96"/>
      <c r="F57" s="90"/>
      <c r="G57" s="90"/>
      <c r="H57" s="1"/>
      <c r="I57" s="96"/>
      <c r="J57" s="96"/>
      <c r="K57" s="96"/>
      <c r="L57" s="57"/>
      <c r="M57" s="57"/>
      <c r="N57" s="57"/>
      <c r="O57" s="57"/>
      <c r="P57" s="57"/>
      <c r="Q57" s="57"/>
      <c r="R57" s="57"/>
      <c r="S57" s="57"/>
      <c r="T57" s="57"/>
      <c r="U57" s="57"/>
      <c r="V57" s="57"/>
      <c r="W57" s="57"/>
      <c r="X57" s="57"/>
      <c r="Y57" s="57"/>
      <c r="Z57" s="57"/>
      <c r="AA57" s="354"/>
      <c r="AB57" s="354"/>
      <c r="AC57" s="354"/>
    </row>
    <row r="58" spans="1:29" ht="12.75">
      <c r="A58" s="6" t="s">
        <v>1</v>
      </c>
      <c r="B58" s="2"/>
      <c r="C58" s="604" t="str">
        <f>C8</f>
        <v>Q4/09 vs. Q4/08</v>
      </c>
      <c r="D58" s="632"/>
      <c r="E58" s="440"/>
      <c r="F58" s="521"/>
      <c r="G58" s="440"/>
      <c r="H58" s="546"/>
      <c r="I58" s="444"/>
      <c r="J58" s="442"/>
      <c r="K58" s="442"/>
      <c r="L58" s="442"/>
      <c r="M58" s="442"/>
      <c r="N58" s="441"/>
      <c r="O58" s="444"/>
      <c r="P58" s="444"/>
      <c r="Q58" s="444"/>
      <c r="R58" s="569"/>
      <c r="S58" s="604" t="str">
        <f>S8</f>
        <v>FY09 vs FY08</v>
      </c>
      <c r="T58" s="605"/>
      <c r="U58" s="605"/>
      <c r="V58" s="606"/>
      <c r="W58" s="440"/>
      <c r="X58" s="443"/>
      <c r="Y58" s="443"/>
      <c r="Z58" s="441"/>
      <c r="AA58" s="445"/>
      <c r="AB58" s="445"/>
      <c r="AC58" s="445"/>
    </row>
    <row r="59" spans="1:29" ht="13.5">
      <c r="A59" s="6" t="s">
        <v>2</v>
      </c>
      <c r="B59" s="2"/>
      <c r="C59" s="633" t="s">
        <v>250</v>
      </c>
      <c r="D59" s="634"/>
      <c r="E59" s="436"/>
      <c r="F59" s="20" t="str">
        <f>F9</f>
        <v>Q4/09</v>
      </c>
      <c r="G59" s="21" t="s">
        <v>167</v>
      </c>
      <c r="H59" s="21" t="s">
        <v>168</v>
      </c>
      <c r="I59" s="449" t="s">
        <v>42</v>
      </c>
      <c r="J59" s="447" t="s">
        <v>43</v>
      </c>
      <c r="K59" s="447" t="s">
        <v>44</v>
      </c>
      <c r="L59" s="447" t="s">
        <v>45</v>
      </c>
      <c r="M59" s="447" t="s">
        <v>46</v>
      </c>
      <c r="N59" s="446" t="s">
        <v>47</v>
      </c>
      <c r="O59" s="449" t="s">
        <v>48</v>
      </c>
      <c r="P59" s="449" t="s">
        <v>49</v>
      </c>
      <c r="Q59" s="449" t="s">
        <v>50</v>
      </c>
      <c r="R59" s="570"/>
      <c r="S59" s="450" t="str">
        <f>S9</f>
        <v>FY09</v>
      </c>
      <c r="T59" s="440" t="str">
        <f>T9</f>
        <v>FY08</v>
      </c>
      <c r="U59" s="609" t="s">
        <v>51</v>
      </c>
      <c r="V59" s="610"/>
      <c r="W59" s="436"/>
      <c r="X59" s="448" t="s">
        <v>55</v>
      </c>
      <c r="Y59" s="448" t="s">
        <v>52</v>
      </c>
      <c r="Z59" s="446" t="s">
        <v>53</v>
      </c>
      <c r="AA59" s="446" t="s">
        <v>242</v>
      </c>
      <c r="AB59" s="446" t="s">
        <v>243</v>
      </c>
      <c r="AC59" s="446" t="s">
        <v>249</v>
      </c>
    </row>
    <row r="60" spans="1:29" ht="12.75" customHeight="1">
      <c r="A60" s="227" t="s">
        <v>3</v>
      </c>
      <c r="B60" s="8"/>
      <c r="C60" s="443"/>
      <c r="D60" s="444"/>
      <c r="E60" s="96"/>
      <c r="F60" s="480"/>
      <c r="G60" s="96"/>
      <c r="H60" s="1"/>
      <c r="I60" s="481"/>
      <c r="J60" s="443"/>
      <c r="K60" s="442"/>
      <c r="L60" s="442"/>
      <c r="M60" s="444"/>
      <c r="N60" s="441"/>
      <c r="O60" s="444"/>
      <c r="P60" s="444"/>
      <c r="Q60" s="444"/>
      <c r="R60" s="569"/>
      <c r="S60" s="443"/>
      <c r="T60" s="442"/>
      <c r="U60" s="442"/>
      <c r="V60" s="444"/>
      <c r="W60" s="57"/>
      <c r="X60" s="441"/>
      <c r="Y60" s="441"/>
      <c r="Z60" s="441"/>
      <c r="AA60" s="451"/>
      <c r="AB60" s="451"/>
      <c r="AC60" s="451"/>
    </row>
    <row r="61" spans="1:29" ht="12.75" customHeight="1">
      <c r="A61" s="7"/>
      <c r="B61" s="7" t="s">
        <v>4</v>
      </c>
      <c r="C61" s="452">
        <f>F61-J61</f>
        <v>-36450</v>
      </c>
      <c r="D61" s="453">
        <f>C61/J61</f>
        <v>-0.25410258912761596</v>
      </c>
      <c r="E61" s="51"/>
      <c r="F61" s="492">
        <f>'2 Consolidated IS'!F59</f>
        <v>106996</v>
      </c>
      <c r="G61" s="493">
        <v>87188</v>
      </c>
      <c r="H61" s="493">
        <v>110829</v>
      </c>
      <c r="I61" s="485">
        <v>172708</v>
      </c>
      <c r="J61" s="55">
        <v>143446</v>
      </c>
      <c r="K61" s="54">
        <v>183354</v>
      </c>
      <c r="L61" s="54">
        <v>158869</v>
      </c>
      <c r="M61" s="56">
        <v>245870</v>
      </c>
      <c r="N61" s="58">
        <v>216443</v>
      </c>
      <c r="O61" s="56">
        <v>178313</v>
      </c>
      <c r="P61" s="56">
        <v>156031</v>
      </c>
      <c r="Q61" s="56">
        <v>206127</v>
      </c>
      <c r="R61" s="569"/>
      <c r="S61" s="492">
        <f aca="true" t="shared" si="4" ref="S61:T64">X61</f>
        <v>477721</v>
      </c>
      <c r="T61" s="493">
        <f t="shared" si="4"/>
        <v>731539</v>
      </c>
      <c r="U61" s="493">
        <f aca="true" t="shared" si="5" ref="U61:U76">S61-T61</f>
        <v>-253818</v>
      </c>
      <c r="V61" s="83">
        <f aca="true" t="shared" si="6" ref="V61:V76">U61/T61</f>
        <v>-0.346964413380558</v>
      </c>
      <c r="W61" s="57"/>
      <c r="X61" s="454">
        <f>F61+G61+H61+I61</f>
        <v>477721</v>
      </c>
      <c r="Y61" s="454">
        <v>731539</v>
      </c>
      <c r="Z61" s="58">
        <v>756914</v>
      </c>
      <c r="AA61" s="58">
        <v>583415</v>
      </c>
      <c r="AB61" s="58">
        <v>432778</v>
      </c>
      <c r="AC61" s="58">
        <v>402157</v>
      </c>
    </row>
    <row r="62" spans="1:29" ht="12.75" customHeight="1">
      <c r="A62" s="7"/>
      <c r="B62" s="7" t="s">
        <v>5</v>
      </c>
      <c r="C62" s="452">
        <f>F62-J62</f>
        <v>-31463</v>
      </c>
      <c r="D62" s="453">
        <f>C62/J62</f>
        <v>-0.2390224261577732</v>
      </c>
      <c r="E62" s="51"/>
      <c r="F62" s="492">
        <f>'2 Consolidated IS'!F60</f>
        <v>100169</v>
      </c>
      <c r="G62" s="493">
        <v>108534</v>
      </c>
      <c r="H62" s="493">
        <v>115805</v>
      </c>
      <c r="I62" s="485">
        <v>149179</v>
      </c>
      <c r="J62" s="55">
        <v>131632</v>
      </c>
      <c r="K62" s="54">
        <v>154817</v>
      </c>
      <c r="L62" s="54">
        <v>135342</v>
      </c>
      <c r="M62" s="56">
        <v>187220</v>
      </c>
      <c r="N62" s="58">
        <v>176307</v>
      </c>
      <c r="O62" s="56">
        <v>144677</v>
      </c>
      <c r="P62" s="56">
        <v>130781</v>
      </c>
      <c r="Q62" s="56">
        <v>166952</v>
      </c>
      <c r="R62" s="569"/>
      <c r="S62" s="492">
        <f t="shared" si="4"/>
        <v>473687</v>
      </c>
      <c r="T62" s="493">
        <f t="shared" si="4"/>
        <v>609011</v>
      </c>
      <c r="U62" s="493">
        <f t="shared" si="5"/>
        <v>-135324</v>
      </c>
      <c r="V62" s="83">
        <f t="shared" si="6"/>
        <v>-0.2222028830349534</v>
      </c>
      <c r="W62" s="57"/>
      <c r="X62" s="454">
        <f>F62+G62+H62+I62</f>
        <v>473687</v>
      </c>
      <c r="Y62" s="454">
        <v>609011</v>
      </c>
      <c r="Z62" s="58">
        <v>618717</v>
      </c>
      <c r="AA62" s="58">
        <v>464385</v>
      </c>
      <c r="AB62" s="58">
        <v>360022</v>
      </c>
      <c r="AC62" s="58">
        <v>339600</v>
      </c>
    </row>
    <row r="63" spans="1:29" ht="12.75" customHeight="1">
      <c r="A63" s="7"/>
      <c r="B63" s="7" t="s">
        <v>6</v>
      </c>
      <c r="C63" s="452">
        <f>F63-J63</f>
        <v>-1576.4799999999996</v>
      </c>
      <c r="D63" s="453">
        <f>C63/J63</f>
        <v>-0.33979670135446205</v>
      </c>
      <c r="E63" s="51"/>
      <c r="F63" s="492">
        <f>F61-F62-F64</f>
        <v>3063</v>
      </c>
      <c r="G63" s="493">
        <v>-5104</v>
      </c>
      <c r="H63" s="493">
        <v>422</v>
      </c>
      <c r="I63" s="485">
        <v>7070</v>
      </c>
      <c r="J63" s="55">
        <v>4639.48</v>
      </c>
      <c r="K63" s="54">
        <v>10704.065999999999</v>
      </c>
      <c r="L63" s="54">
        <v>8217.059000000001</v>
      </c>
      <c r="M63" s="56">
        <v>19621</v>
      </c>
      <c r="N63" s="58">
        <v>14120</v>
      </c>
      <c r="O63" s="56">
        <v>9944</v>
      </c>
      <c r="P63" s="56">
        <v>7444</v>
      </c>
      <c r="Q63" s="56">
        <v>13233</v>
      </c>
      <c r="R63" s="569"/>
      <c r="S63" s="492">
        <f t="shared" si="4"/>
        <v>5451</v>
      </c>
      <c r="T63" s="493">
        <f t="shared" si="4"/>
        <v>43181.604999999996</v>
      </c>
      <c r="U63" s="493">
        <f t="shared" si="5"/>
        <v>-37730.604999999996</v>
      </c>
      <c r="V63" s="83">
        <f t="shared" si="6"/>
        <v>-0.8737656925906298</v>
      </c>
      <c r="W63" s="57"/>
      <c r="X63" s="454">
        <f>F63+G63+H63+I63</f>
        <v>5451</v>
      </c>
      <c r="Y63" s="454">
        <v>43181.604999999996</v>
      </c>
      <c r="Z63" s="58">
        <v>44741</v>
      </c>
      <c r="AA63" s="58">
        <v>37880</v>
      </c>
      <c r="AB63" s="58">
        <v>24177</v>
      </c>
      <c r="AC63" s="58">
        <v>22128</v>
      </c>
    </row>
    <row r="64" spans="1:29" ht="12.75" customHeight="1">
      <c r="A64" s="7"/>
      <c r="B64" s="7" t="s">
        <v>7</v>
      </c>
      <c r="C64" s="452">
        <f>F64-J64</f>
        <v>-3410.5200000000004</v>
      </c>
      <c r="D64" s="453">
        <f>C64/J64</f>
        <v>-0.4753655993711078</v>
      </c>
      <c r="E64" s="51"/>
      <c r="F64" s="492">
        <f>'2 Consolidated IS'!F62</f>
        <v>3764</v>
      </c>
      <c r="G64" s="493">
        <v>-16242</v>
      </c>
      <c r="H64" s="493">
        <v>-5398</v>
      </c>
      <c r="I64" s="485">
        <v>16459</v>
      </c>
      <c r="J64" s="55">
        <v>7174.52</v>
      </c>
      <c r="K64" s="54">
        <v>17832.934</v>
      </c>
      <c r="L64" s="54">
        <v>15309.940999999999</v>
      </c>
      <c r="M64" s="56">
        <v>39029</v>
      </c>
      <c r="N64" s="58">
        <v>26016</v>
      </c>
      <c r="O64" s="56">
        <v>23692</v>
      </c>
      <c r="P64" s="56">
        <v>17806</v>
      </c>
      <c r="Q64" s="56">
        <v>25942</v>
      </c>
      <c r="R64" s="569"/>
      <c r="S64" s="492">
        <f t="shared" si="4"/>
        <v>-1417</v>
      </c>
      <c r="T64" s="493">
        <f t="shared" si="4"/>
        <v>79346.395</v>
      </c>
      <c r="U64" s="493">
        <f t="shared" si="5"/>
        <v>-80763.395</v>
      </c>
      <c r="V64" s="83">
        <f t="shared" si="6"/>
        <v>-1.0178584042791106</v>
      </c>
      <c r="W64" s="57"/>
      <c r="X64" s="454">
        <f>F64+G64+H64+I64</f>
        <v>-1417</v>
      </c>
      <c r="Y64" s="454">
        <v>79346.395</v>
      </c>
      <c r="Z64" s="58">
        <v>93456</v>
      </c>
      <c r="AA64" s="58">
        <v>81150</v>
      </c>
      <c r="AB64" s="58">
        <v>48579</v>
      </c>
      <c r="AC64" s="58">
        <v>40429</v>
      </c>
    </row>
    <row r="65" spans="1:29" ht="9.75" customHeight="1">
      <c r="A65" s="12"/>
      <c r="B65" s="2"/>
      <c r="C65" s="452"/>
      <c r="D65" s="453"/>
      <c r="E65" s="51"/>
      <c r="F65" s="564"/>
      <c r="G65" s="1"/>
      <c r="H65" s="1"/>
      <c r="I65" s="481"/>
      <c r="J65" s="455"/>
      <c r="K65" s="1"/>
      <c r="L65" s="1"/>
      <c r="M65" s="456"/>
      <c r="N65" s="285"/>
      <c r="O65" s="456"/>
      <c r="P65" s="456"/>
      <c r="Q65" s="456"/>
      <c r="R65" s="569"/>
      <c r="S65" s="60"/>
      <c r="T65" s="50"/>
      <c r="U65" s="50"/>
      <c r="V65" s="83"/>
      <c r="W65" s="57"/>
      <c r="X65" s="285"/>
      <c r="Y65" s="285"/>
      <c r="Z65" s="285"/>
      <c r="AA65" s="285"/>
      <c r="AB65" s="285"/>
      <c r="AC65" s="285"/>
    </row>
    <row r="66" spans="1:29" ht="12.75" customHeight="1">
      <c r="A66" s="227" t="s">
        <v>15</v>
      </c>
      <c r="B66" s="7"/>
      <c r="C66" s="452"/>
      <c r="D66" s="453"/>
      <c r="E66" s="51"/>
      <c r="F66" s="564"/>
      <c r="G66" s="1"/>
      <c r="H66" s="1"/>
      <c r="I66" s="481"/>
      <c r="J66" s="455"/>
      <c r="K66" s="1"/>
      <c r="L66" s="1"/>
      <c r="M66" s="456"/>
      <c r="N66" s="285"/>
      <c r="O66" s="456"/>
      <c r="P66" s="456"/>
      <c r="Q66" s="456"/>
      <c r="R66" s="569"/>
      <c r="S66" s="60"/>
      <c r="T66" s="50"/>
      <c r="U66" s="50"/>
      <c r="V66" s="83"/>
      <c r="W66" s="57"/>
      <c r="X66" s="285"/>
      <c r="Y66" s="285"/>
      <c r="Z66" s="285"/>
      <c r="AA66" s="285"/>
      <c r="AB66" s="285"/>
      <c r="AC66" s="285"/>
    </row>
    <row r="67" spans="1:29" ht="12.75" customHeight="1">
      <c r="A67" s="7" t="s">
        <v>16</v>
      </c>
      <c r="B67" s="7"/>
      <c r="C67" s="452"/>
      <c r="D67" s="453"/>
      <c r="E67" s="51"/>
      <c r="F67" s="564"/>
      <c r="G67" s="1"/>
      <c r="H67" s="1"/>
      <c r="I67" s="481"/>
      <c r="J67" s="455"/>
      <c r="K67" s="1"/>
      <c r="L67" s="1"/>
      <c r="M67" s="456"/>
      <c r="N67" s="285"/>
      <c r="O67" s="456"/>
      <c r="P67" s="456"/>
      <c r="Q67" s="456"/>
      <c r="R67" s="569"/>
      <c r="S67" s="60"/>
      <c r="T67" s="50"/>
      <c r="U67" s="50"/>
      <c r="V67" s="83"/>
      <c r="W67" s="57"/>
      <c r="X67" s="285"/>
      <c r="Y67" s="285"/>
      <c r="Z67" s="285"/>
      <c r="AA67" s="285"/>
      <c r="AB67" s="285"/>
      <c r="AC67" s="285"/>
    </row>
    <row r="68" spans="1:29" ht="12.75" customHeight="1">
      <c r="A68" s="7"/>
      <c r="B68" s="7" t="s">
        <v>17</v>
      </c>
      <c r="C68" s="97">
        <f>F68-J68</f>
        <v>-0.08</v>
      </c>
      <c r="D68" s="45">
        <f>C68/J68</f>
        <v>-0.5</v>
      </c>
      <c r="E68" s="46"/>
      <c r="F68" s="558">
        <f>'2 Consolidated IS'!F68</f>
        <v>0.08</v>
      </c>
      <c r="G68" s="552">
        <v>-0.33</v>
      </c>
      <c r="H68" s="552">
        <v>-0.11</v>
      </c>
      <c r="I68" s="481">
        <v>0.35</v>
      </c>
      <c r="J68" s="455">
        <v>0.16</v>
      </c>
      <c r="K68" s="50">
        <v>0.4013</v>
      </c>
      <c r="L68" s="50">
        <v>0.3404</v>
      </c>
      <c r="M68" s="61">
        <v>0.86</v>
      </c>
      <c r="N68" s="47">
        <v>0.57</v>
      </c>
      <c r="O68" s="61">
        <v>0.51</v>
      </c>
      <c r="P68" s="61">
        <v>0.39</v>
      </c>
      <c r="Q68" s="61">
        <v>0.57</v>
      </c>
      <c r="R68" s="569"/>
      <c r="S68" s="60">
        <f>X68</f>
        <v>-0.03</v>
      </c>
      <c r="T68" s="50">
        <f>Y68</f>
        <v>1.77</v>
      </c>
      <c r="U68" s="50">
        <f t="shared" si="5"/>
        <v>-1.8</v>
      </c>
      <c r="V68" s="83">
        <f t="shared" si="6"/>
        <v>-1.0169491525423728</v>
      </c>
      <c r="W68" s="57"/>
      <c r="X68" s="47">
        <v>-0.03</v>
      </c>
      <c r="Y68" s="47">
        <v>1.77</v>
      </c>
      <c r="Z68" s="47">
        <v>2.03</v>
      </c>
      <c r="AA68" s="47">
        <v>1.82</v>
      </c>
      <c r="AB68" s="47">
        <v>1.17</v>
      </c>
      <c r="AC68" s="47">
        <v>1.43</v>
      </c>
    </row>
    <row r="69" spans="1:29" ht="12.75" customHeight="1">
      <c r="A69" s="7"/>
      <c r="B69" s="7" t="s">
        <v>18</v>
      </c>
      <c r="C69" s="97">
        <f>F69-J69</f>
        <v>-0.07999999999999999</v>
      </c>
      <c r="D69" s="45">
        <f>C69/J69</f>
        <v>-0.5333333333333333</v>
      </c>
      <c r="E69" s="46"/>
      <c r="F69" s="558">
        <f>'2 Consolidated IS'!F69</f>
        <v>0.07</v>
      </c>
      <c r="G69" s="552">
        <v>-0.33</v>
      </c>
      <c r="H69" s="552">
        <v>-0.11</v>
      </c>
      <c r="I69" s="481">
        <v>0.31</v>
      </c>
      <c r="J69" s="455">
        <v>0.15</v>
      </c>
      <c r="K69" s="50">
        <v>0.359</v>
      </c>
      <c r="L69" s="50">
        <v>0.3135</v>
      </c>
      <c r="M69" s="61">
        <v>0.8</v>
      </c>
      <c r="N69" s="47">
        <v>0.54</v>
      </c>
      <c r="O69" s="61">
        <v>0.49</v>
      </c>
      <c r="P69" s="61">
        <v>0.37</v>
      </c>
      <c r="Q69" s="61">
        <v>0.54</v>
      </c>
      <c r="R69" s="569"/>
      <c r="S69" s="60">
        <f>X69</f>
        <v>-0.03</v>
      </c>
      <c r="T69" s="50">
        <f>Y69</f>
        <v>1.63</v>
      </c>
      <c r="U69" s="50">
        <f t="shared" si="5"/>
        <v>-1.66</v>
      </c>
      <c r="V69" s="83">
        <f t="shared" si="6"/>
        <v>-1.0184049079754602</v>
      </c>
      <c r="W69" s="57"/>
      <c r="X69" s="47">
        <v>-0.03</v>
      </c>
      <c r="Y69" s="47">
        <v>1.63</v>
      </c>
      <c r="Z69" s="47">
        <v>1.94</v>
      </c>
      <c r="AA69" s="47">
        <v>1.74</v>
      </c>
      <c r="AB69" s="47">
        <v>1.11</v>
      </c>
      <c r="AC69" s="47">
        <v>1.12</v>
      </c>
    </row>
    <row r="70" spans="1:29" ht="9.75" customHeight="1">
      <c r="A70" s="12"/>
      <c r="B70" s="2"/>
      <c r="C70" s="452"/>
      <c r="D70" s="453"/>
      <c r="E70" s="51"/>
      <c r="F70" s="564"/>
      <c r="G70" s="1"/>
      <c r="H70" s="1"/>
      <c r="I70" s="481"/>
      <c r="J70" s="455"/>
      <c r="K70" s="1"/>
      <c r="L70" s="1"/>
      <c r="M70" s="456"/>
      <c r="N70" s="285"/>
      <c r="O70" s="456"/>
      <c r="P70" s="456"/>
      <c r="Q70" s="456"/>
      <c r="R70" s="569"/>
      <c r="S70" s="60"/>
      <c r="T70" s="50"/>
      <c r="U70" s="50"/>
      <c r="V70" s="61"/>
      <c r="W70" s="57"/>
      <c r="X70" s="285"/>
      <c r="Y70" s="285"/>
      <c r="Z70" s="285"/>
      <c r="AA70" s="285"/>
      <c r="AB70" s="285"/>
      <c r="AC70" s="285"/>
    </row>
    <row r="71" spans="1:29" ht="12.75" customHeight="1">
      <c r="A71" s="227" t="s">
        <v>31</v>
      </c>
      <c r="B71" s="7"/>
      <c r="C71" s="452"/>
      <c r="D71" s="453"/>
      <c r="E71" s="51"/>
      <c r="F71" s="564"/>
      <c r="G71" s="1"/>
      <c r="H71" s="1"/>
      <c r="I71" s="481"/>
      <c r="J71" s="455"/>
      <c r="K71" s="1"/>
      <c r="L71" s="1"/>
      <c r="M71" s="456"/>
      <c r="N71" s="285"/>
      <c r="O71" s="456"/>
      <c r="P71" s="456"/>
      <c r="Q71" s="456"/>
      <c r="R71" s="569"/>
      <c r="S71" s="60"/>
      <c r="T71" s="50"/>
      <c r="U71" s="50"/>
      <c r="V71" s="61"/>
      <c r="W71" s="57"/>
      <c r="X71" s="285"/>
      <c r="Y71" s="285"/>
      <c r="Z71" s="285"/>
      <c r="AA71" s="285"/>
      <c r="AB71" s="285"/>
      <c r="AC71" s="285"/>
    </row>
    <row r="72" spans="1:29" ht="12.75" customHeight="1">
      <c r="A72" s="7"/>
      <c r="B72" s="7" t="s">
        <v>32</v>
      </c>
      <c r="C72" s="494">
        <f>F72-J72</f>
        <v>-0.125</v>
      </c>
      <c r="D72" s="45">
        <f>C72/J72</f>
        <v>-1</v>
      </c>
      <c r="E72" s="46"/>
      <c r="F72" s="459">
        <f>F46</f>
        <v>0</v>
      </c>
      <c r="G72" s="46">
        <v>0</v>
      </c>
      <c r="H72" s="46">
        <v>0</v>
      </c>
      <c r="I72" s="479">
        <v>0.125</v>
      </c>
      <c r="J72" s="455">
        <v>0.125</v>
      </c>
      <c r="K72" s="78">
        <v>0.125</v>
      </c>
      <c r="L72" s="36">
        <v>0.125</v>
      </c>
      <c r="M72" s="457">
        <v>0.125</v>
      </c>
      <c r="N72" s="47">
        <v>0.1</v>
      </c>
      <c r="O72" s="61">
        <v>0.1</v>
      </c>
      <c r="P72" s="61">
        <v>0.08</v>
      </c>
      <c r="Q72" s="79">
        <v>0.08</v>
      </c>
      <c r="R72" s="569"/>
      <c r="S72" s="494">
        <f aca="true" t="shared" si="7" ref="S72:T76">X72</f>
        <v>0.125</v>
      </c>
      <c r="T72" s="495">
        <f t="shared" si="7"/>
        <v>0.5</v>
      </c>
      <c r="U72" s="50">
        <f t="shared" si="5"/>
        <v>-0.375</v>
      </c>
      <c r="V72" s="83">
        <f t="shared" si="6"/>
        <v>-0.75</v>
      </c>
      <c r="W72" s="57"/>
      <c r="X72" s="573">
        <f>F72+G72+H72+I72</f>
        <v>0.125</v>
      </c>
      <c r="Y72" s="47">
        <v>0.5</v>
      </c>
      <c r="Z72" s="47">
        <v>0.36</v>
      </c>
      <c r="AA72" s="47">
        <v>0.28</v>
      </c>
      <c r="AB72" s="47">
        <v>0.26</v>
      </c>
      <c r="AC72" s="47">
        <v>0</v>
      </c>
    </row>
    <row r="73" spans="1:29" ht="12.75" customHeight="1">
      <c r="A73" s="7"/>
      <c r="B73" s="7" t="s">
        <v>33</v>
      </c>
      <c r="C73" s="478" t="s">
        <v>54</v>
      </c>
      <c r="D73" s="45" t="s">
        <v>54</v>
      </c>
      <c r="E73" s="46"/>
      <c r="F73" s="459">
        <f>F47</f>
        <v>0</v>
      </c>
      <c r="G73" s="46">
        <v>0</v>
      </c>
      <c r="H73" s="46">
        <v>0</v>
      </c>
      <c r="I73" s="45">
        <v>0</v>
      </c>
      <c r="J73" s="60">
        <v>0</v>
      </c>
      <c r="K73" s="50">
        <v>0</v>
      </c>
      <c r="L73" s="50">
        <v>0</v>
      </c>
      <c r="M73" s="458">
        <v>0</v>
      </c>
      <c r="N73" s="47">
        <v>0</v>
      </c>
      <c r="O73" s="61">
        <v>0</v>
      </c>
      <c r="P73" s="61">
        <v>0</v>
      </c>
      <c r="Q73" s="61">
        <v>0</v>
      </c>
      <c r="R73" s="569"/>
      <c r="S73" s="60">
        <f t="shared" si="7"/>
        <v>0</v>
      </c>
      <c r="T73" s="50">
        <f t="shared" si="7"/>
        <v>0</v>
      </c>
      <c r="U73" s="80" t="s">
        <v>54</v>
      </c>
      <c r="V73" s="458" t="s">
        <v>54</v>
      </c>
      <c r="W73" s="57"/>
      <c r="X73" s="47">
        <f>I73</f>
        <v>0</v>
      </c>
      <c r="Y73" s="47">
        <v>0</v>
      </c>
      <c r="Z73" s="47">
        <v>0</v>
      </c>
      <c r="AA73" s="47">
        <v>0</v>
      </c>
      <c r="AB73" s="47">
        <v>0.15</v>
      </c>
      <c r="AC73" s="47">
        <v>0</v>
      </c>
    </row>
    <row r="74" spans="1:29" ht="12.75" customHeight="1">
      <c r="A74" s="10"/>
      <c r="B74" s="11" t="s">
        <v>34</v>
      </c>
      <c r="C74" s="53">
        <f>(F74-J74)*100</f>
        <v>-5.1</v>
      </c>
      <c r="D74" s="45"/>
      <c r="E74" s="46"/>
      <c r="F74" s="459">
        <f>F48</f>
        <v>0</v>
      </c>
      <c r="G74" s="46">
        <v>0</v>
      </c>
      <c r="H74" s="46">
        <v>0</v>
      </c>
      <c r="I74" s="45">
        <v>0.0629</v>
      </c>
      <c r="J74" s="459">
        <v>0.051</v>
      </c>
      <c r="K74" s="52">
        <v>0.033</v>
      </c>
      <c r="L74" s="52">
        <v>0.0263</v>
      </c>
      <c r="M74" s="75">
        <v>0.024</v>
      </c>
      <c r="N74" s="49">
        <v>0.018</v>
      </c>
      <c r="O74" s="83">
        <v>0.022</v>
      </c>
      <c r="P74" s="83">
        <v>0.019</v>
      </c>
      <c r="Q74" s="75">
        <v>0.018</v>
      </c>
      <c r="R74" s="569"/>
      <c r="S74" s="82">
        <f t="shared" si="7"/>
        <v>0.023</v>
      </c>
      <c r="T74" s="52">
        <f t="shared" si="7"/>
        <v>0.051</v>
      </c>
      <c r="U74" s="430">
        <f>(S74-T74)*100</f>
        <v>-2.8</v>
      </c>
      <c r="V74" s="83"/>
      <c r="W74" s="57"/>
      <c r="X74" s="48">
        <v>0.023</v>
      </c>
      <c r="Y74" s="48">
        <v>0.051</v>
      </c>
      <c r="Z74" s="48">
        <v>0.016</v>
      </c>
      <c r="AA74" s="48">
        <v>0.013</v>
      </c>
      <c r="AB74" s="49">
        <v>0.0248</v>
      </c>
      <c r="AC74" s="47">
        <v>0</v>
      </c>
    </row>
    <row r="75" spans="1:29" ht="12.75" customHeight="1">
      <c r="A75" s="10"/>
      <c r="B75" s="11" t="s">
        <v>35</v>
      </c>
      <c r="C75" s="53">
        <f>(F75-J75)*100</f>
        <v>-86.3</v>
      </c>
      <c r="D75" s="45"/>
      <c r="E75" s="46"/>
      <c r="F75" s="459">
        <f>F49</f>
        <v>0</v>
      </c>
      <c r="G75" s="46">
        <v>0</v>
      </c>
      <c r="H75" s="46">
        <v>0</v>
      </c>
      <c r="I75" s="45">
        <v>0.436</v>
      </c>
      <c r="J75" s="459">
        <v>0.863</v>
      </c>
      <c r="K75" s="52">
        <v>0.408</v>
      </c>
      <c r="L75" s="52">
        <v>0.492</v>
      </c>
      <c r="M75" s="83">
        <v>0.157</v>
      </c>
      <c r="N75" s="49">
        <v>0.185</v>
      </c>
      <c r="O75" s="83">
        <v>0.203</v>
      </c>
      <c r="P75" s="83">
        <v>0.216</v>
      </c>
      <c r="Q75" s="83">
        <v>0.148</v>
      </c>
      <c r="R75" s="569"/>
      <c r="S75" s="82" t="str">
        <f t="shared" si="7"/>
        <v>n.m.</v>
      </c>
      <c r="T75" s="52">
        <f t="shared" si="7"/>
        <v>0.309</v>
      </c>
      <c r="U75" s="430" t="s">
        <v>54</v>
      </c>
      <c r="V75" s="83"/>
      <c r="W75" s="57"/>
      <c r="X75" s="601" t="s">
        <v>54</v>
      </c>
      <c r="Y75" s="48">
        <v>0.309</v>
      </c>
      <c r="Z75" s="49">
        <v>0.185</v>
      </c>
      <c r="AA75" s="49">
        <v>0.162</v>
      </c>
      <c r="AB75" s="49">
        <v>0.247</v>
      </c>
      <c r="AC75" s="47">
        <v>0</v>
      </c>
    </row>
    <row r="76" spans="1:29" ht="12.75" customHeight="1">
      <c r="A76" s="10"/>
      <c r="B76" s="7" t="s">
        <v>37</v>
      </c>
      <c r="C76" s="100">
        <f>F76-J76</f>
        <v>-6.199999999999999</v>
      </c>
      <c r="D76" s="45">
        <f>C76/J76</f>
        <v>-0.8493150684931506</v>
      </c>
      <c r="E76" s="46"/>
      <c r="F76" s="559">
        <v>1.1</v>
      </c>
      <c r="G76" s="534">
        <v>7.1</v>
      </c>
      <c r="H76" s="534">
        <v>8.1</v>
      </c>
      <c r="I76" s="484">
        <v>7.3</v>
      </c>
      <c r="J76" s="85">
        <v>7.3</v>
      </c>
      <c r="K76" s="84">
        <v>7.6119</v>
      </c>
      <c r="L76" s="84">
        <v>8.8692</v>
      </c>
      <c r="M76" s="86">
        <v>9.5</v>
      </c>
      <c r="N76" s="87">
        <v>11.4</v>
      </c>
      <c r="O76" s="86">
        <v>9.2</v>
      </c>
      <c r="P76" s="86">
        <v>8.3</v>
      </c>
      <c r="Q76" s="86">
        <v>8.7</v>
      </c>
      <c r="R76" s="569"/>
      <c r="S76" s="85">
        <f t="shared" si="7"/>
        <v>1.1</v>
      </c>
      <c r="T76" s="84">
        <f t="shared" si="7"/>
        <v>7.3</v>
      </c>
      <c r="U76" s="84">
        <f t="shared" si="5"/>
        <v>-6.199999999999999</v>
      </c>
      <c r="V76" s="83">
        <f t="shared" si="6"/>
        <v>-0.8493150684931506</v>
      </c>
      <c r="W76" s="57"/>
      <c r="X76" s="87">
        <f>F76</f>
        <v>1.1</v>
      </c>
      <c r="Y76" s="87">
        <v>7.3</v>
      </c>
      <c r="Z76" s="87">
        <v>11.4</v>
      </c>
      <c r="AA76" s="87">
        <v>12</v>
      </c>
      <c r="AB76" s="87">
        <v>9.5273</v>
      </c>
      <c r="AC76" s="87">
        <v>0</v>
      </c>
    </row>
    <row r="77" spans="1:29" ht="12.75" customHeight="1">
      <c r="A77" s="12"/>
      <c r="B77" s="2"/>
      <c r="C77" s="89"/>
      <c r="D77" s="91"/>
      <c r="E77" s="96"/>
      <c r="F77" s="89"/>
      <c r="G77" s="551"/>
      <c r="H77" s="551"/>
      <c r="I77" s="91"/>
      <c r="J77" s="89"/>
      <c r="K77" s="90"/>
      <c r="L77" s="90"/>
      <c r="M77" s="91"/>
      <c r="N77" s="88"/>
      <c r="O77" s="91"/>
      <c r="P77" s="91"/>
      <c r="Q77" s="91"/>
      <c r="R77" s="569"/>
      <c r="S77" s="433"/>
      <c r="T77" s="434"/>
      <c r="U77" s="434"/>
      <c r="V77" s="435"/>
      <c r="W77" s="57"/>
      <c r="X77" s="88"/>
      <c r="Y77" s="88"/>
      <c r="Z77" s="88"/>
      <c r="AA77" s="439"/>
      <c r="AB77" s="439"/>
      <c r="AC77" s="439"/>
    </row>
    <row r="78" spans="1:29" ht="12.75">
      <c r="A78" s="1" t="s">
        <v>39</v>
      </c>
      <c r="B78" s="2"/>
      <c r="C78" s="1"/>
      <c r="D78" s="1"/>
      <c r="E78" s="1"/>
      <c r="F78" s="1"/>
      <c r="G78" s="1"/>
      <c r="H78" s="1"/>
      <c r="I78" s="96"/>
      <c r="J78" s="96"/>
      <c r="K78" s="96"/>
      <c r="L78" s="57"/>
      <c r="M78" s="57"/>
      <c r="N78" s="57"/>
      <c r="O78" s="57"/>
      <c r="P78" s="57"/>
      <c r="Q78" s="57"/>
      <c r="R78" s="57"/>
      <c r="S78" s="57"/>
      <c r="T78" s="57"/>
      <c r="U78" s="57"/>
      <c r="V78" s="57"/>
      <c r="W78" s="57"/>
      <c r="X78" s="57"/>
      <c r="Y78" s="57"/>
      <c r="Z78" s="57"/>
      <c r="AA78" s="57"/>
      <c r="AB78" s="57"/>
      <c r="AC78" s="57"/>
    </row>
    <row r="79" spans="1:26" ht="12.75">
      <c r="A79" s="1" t="s">
        <v>40</v>
      </c>
      <c r="B79" s="2"/>
      <c r="C79" s="1"/>
      <c r="D79" s="1"/>
      <c r="E79" s="1"/>
      <c r="F79" s="1"/>
      <c r="G79" s="1"/>
      <c r="H79" s="1"/>
      <c r="I79" s="96"/>
      <c r="J79" s="3"/>
      <c r="K79" s="3"/>
      <c r="Y79" s="15"/>
      <c r="Z79" s="15"/>
    </row>
    <row r="80" spans="1:26" ht="9.75" customHeight="1">
      <c r="A80" s="2"/>
      <c r="B80" s="2"/>
      <c r="C80" s="1"/>
      <c r="D80" s="1"/>
      <c r="E80" s="1"/>
      <c r="F80" s="1"/>
      <c r="G80" s="1"/>
      <c r="H80" s="1"/>
      <c r="I80" s="440"/>
      <c r="J80" s="15"/>
      <c r="K80" s="15"/>
      <c r="L80" s="15"/>
      <c r="M80" s="15"/>
      <c r="N80" s="15"/>
      <c r="O80" s="15"/>
      <c r="P80" s="15"/>
      <c r="Q80" s="15"/>
      <c r="R80" s="3"/>
      <c r="S80" s="3"/>
      <c r="T80" s="3"/>
      <c r="Y80" s="15"/>
      <c r="Z80" s="15"/>
    </row>
    <row r="81" spans="1:26" ht="12.75">
      <c r="A81" s="1" t="s">
        <v>41</v>
      </c>
      <c r="B81" s="13"/>
      <c r="C81" s="13"/>
      <c r="D81" s="13"/>
      <c r="E81" s="13"/>
      <c r="F81" s="13"/>
      <c r="G81" s="13"/>
      <c r="H81" s="13"/>
      <c r="I81" s="15"/>
      <c r="J81" s="15"/>
      <c r="K81" s="15"/>
      <c r="L81" s="15"/>
      <c r="M81" s="15"/>
      <c r="N81" s="15"/>
      <c r="O81" s="15"/>
      <c r="P81" s="15"/>
      <c r="Q81" s="15"/>
      <c r="R81" s="3"/>
      <c r="S81" s="3"/>
      <c r="T81" s="3"/>
      <c r="Y81" s="2"/>
      <c r="Z81" s="2"/>
    </row>
    <row r="82" spans="1:26" ht="12.75">
      <c r="A82" s="3"/>
      <c r="B82" s="3"/>
      <c r="C82" s="3"/>
      <c r="D82" s="3"/>
      <c r="I82" s="2"/>
      <c r="J82" s="2"/>
      <c r="K82" s="2"/>
      <c r="L82" s="2"/>
      <c r="M82" s="2"/>
      <c r="N82" s="2"/>
      <c r="O82" s="2"/>
      <c r="P82" s="2"/>
      <c r="Q82" s="2"/>
      <c r="R82" s="3"/>
      <c r="S82" s="3"/>
      <c r="T82" s="3"/>
      <c r="Y82" s="30"/>
      <c r="Z82" s="30"/>
    </row>
    <row r="83" spans="9:26" ht="12.75">
      <c r="I83" s="30"/>
      <c r="J83" s="30"/>
      <c r="K83" s="30"/>
      <c r="L83" s="30"/>
      <c r="M83" s="30"/>
      <c r="N83" s="30"/>
      <c r="O83" s="30"/>
      <c r="P83" s="30"/>
      <c r="Q83" s="30"/>
      <c r="R83" s="3"/>
      <c r="S83" s="3"/>
      <c r="T83" s="3"/>
      <c r="Y83" s="30"/>
      <c r="Z83" s="30"/>
    </row>
    <row r="84" spans="9:26" ht="12.75">
      <c r="I84" s="30"/>
      <c r="J84" s="30"/>
      <c r="K84" s="30"/>
      <c r="L84" s="30"/>
      <c r="M84" s="30"/>
      <c r="N84" s="30"/>
      <c r="O84" s="30"/>
      <c r="P84" s="30"/>
      <c r="Q84" s="30"/>
      <c r="R84" s="3"/>
      <c r="S84" s="3"/>
      <c r="T84" s="3"/>
      <c r="Y84" s="30"/>
      <c r="Z84" s="30"/>
    </row>
    <row r="85" spans="9:26" ht="12.75">
      <c r="I85" s="30"/>
      <c r="J85" s="30"/>
      <c r="K85" s="30"/>
      <c r="L85" s="30"/>
      <c r="M85" s="30"/>
      <c r="N85" s="30"/>
      <c r="O85" s="30"/>
      <c r="P85" s="30"/>
      <c r="Q85" s="30"/>
      <c r="R85" s="3"/>
      <c r="S85" s="3"/>
      <c r="T85" s="3"/>
      <c r="Y85" s="30"/>
      <c r="Z85" s="30"/>
    </row>
    <row r="86" spans="9:26" ht="12.75">
      <c r="I86" s="30"/>
      <c r="J86" s="30"/>
      <c r="K86" s="30"/>
      <c r="L86" s="30"/>
      <c r="M86" s="30"/>
      <c r="N86" s="30"/>
      <c r="O86" s="30"/>
      <c r="P86" s="30"/>
      <c r="Q86" s="30"/>
      <c r="R86" s="3"/>
      <c r="S86" s="3"/>
      <c r="T86" s="3"/>
      <c r="Y86" s="2"/>
      <c r="Z86" s="2"/>
    </row>
    <row r="87" spans="9:26" ht="12.75">
      <c r="I87" s="2"/>
      <c r="J87" s="2"/>
      <c r="K87" s="2"/>
      <c r="L87" s="2"/>
      <c r="M87" s="2"/>
      <c r="N87" s="2"/>
      <c r="O87" s="2"/>
      <c r="P87" s="2"/>
      <c r="Q87" s="2"/>
      <c r="R87" s="3"/>
      <c r="S87" s="3"/>
      <c r="T87" s="3"/>
      <c r="Y87" s="2"/>
      <c r="Z87" s="2"/>
    </row>
    <row r="88" spans="9:26" ht="12.75">
      <c r="I88" s="2"/>
      <c r="J88" s="2"/>
      <c r="K88" s="2"/>
      <c r="L88" s="2"/>
      <c r="M88" s="2"/>
      <c r="N88" s="2"/>
      <c r="O88" s="2"/>
      <c r="P88" s="2"/>
      <c r="Q88" s="2"/>
      <c r="R88" s="3"/>
      <c r="S88" s="3"/>
      <c r="T88" s="3"/>
      <c r="Y88" s="2"/>
      <c r="Z88" s="2"/>
    </row>
    <row r="89" spans="9:26" ht="12.75">
      <c r="I89" s="2"/>
      <c r="J89" s="2"/>
      <c r="K89" s="2"/>
      <c r="L89" s="2"/>
      <c r="M89" s="2"/>
      <c r="N89" s="2"/>
      <c r="O89" s="2"/>
      <c r="P89" s="2"/>
      <c r="Q89" s="2"/>
      <c r="R89" s="3"/>
      <c r="S89" s="3"/>
      <c r="T89" s="3"/>
      <c r="Y89" s="31"/>
      <c r="Z89" s="31"/>
    </row>
    <row r="90" spans="9:26" ht="12.75">
      <c r="I90" s="31"/>
      <c r="J90" s="31"/>
      <c r="K90" s="31"/>
      <c r="L90" s="31"/>
      <c r="M90" s="31"/>
      <c r="N90" s="31"/>
      <c r="O90" s="31"/>
      <c r="P90" s="31"/>
      <c r="Q90" s="7"/>
      <c r="R90" s="3"/>
      <c r="S90" s="3"/>
      <c r="T90" s="3"/>
      <c r="Y90" s="31"/>
      <c r="Z90" s="31"/>
    </row>
    <row r="91" spans="9:26" ht="12.75">
      <c r="I91" s="31"/>
      <c r="J91" s="31"/>
      <c r="K91" s="31"/>
      <c r="L91" s="31"/>
      <c r="M91" s="31"/>
      <c r="N91" s="31"/>
      <c r="O91" s="31"/>
      <c r="P91" s="31"/>
      <c r="Q91" s="7"/>
      <c r="R91" s="3"/>
      <c r="S91" s="3"/>
      <c r="T91" s="3"/>
      <c r="Y91" s="31"/>
      <c r="Z91" s="31"/>
    </row>
    <row r="92" spans="9:26" ht="12.75">
      <c r="I92" s="32"/>
      <c r="J92" s="32"/>
      <c r="K92" s="32"/>
      <c r="L92" s="32"/>
      <c r="M92" s="32"/>
      <c r="N92" s="32"/>
      <c r="O92" s="32"/>
      <c r="P92" s="32"/>
      <c r="Q92" s="32"/>
      <c r="R92" s="3"/>
      <c r="S92" s="3"/>
      <c r="T92" s="3"/>
      <c r="Y92" s="2"/>
      <c r="Z92" s="2"/>
    </row>
    <row r="93" spans="9:26" ht="12.75">
      <c r="I93" s="2"/>
      <c r="J93" s="2"/>
      <c r="K93" s="2"/>
      <c r="L93" s="2"/>
      <c r="M93" s="2"/>
      <c r="N93" s="2"/>
      <c r="O93" s="2"/>
      <c r="P93" s="2"/>
      <c r="Q93" s="2"/>
      <c r="R93" s="3"/>
      <c r="S93" s="3"/>
      <c r="T93" s="3"/>
      <c r="Y93" s="2"/>
      <c r="Z93" s="2"/>
    </row>
    <row r="94" spans="9:26" ht="12.75">
      <c r="I94" s="2"/>
      <c r="J94" s="2"/>
      <c r="K94" s="2"/>
      <c r="L94" s="2"/>
      <c r="M94" s="2"/>
      <c r="N94" s="2"/>
      <c r="O94" s="2"/>
      <c r="P94" s="2"/>
      <c r="Q94" s="2"/>
      <c r="R94" s="3"/>
      <c r="S94" s="3"/>
      <c r="T94" s="3"/>
      <c r="Y94" s="50"/>
      <c r="Z94" s="50"/>
    </row>
    <row r="95" spans="9:26" ht="12.75">
      <c r="I95" s="31"/>
      <c r="J95" s="43"/>
      <c r="K95" s="31"/>
      <c r="L95" s="31"/>
      <c r="M95" s="31"/>
      <c r="N95" s="36"/>
      <c r="O95" s="36"/>
      <c r="P95" s="33"/>
      <c r="Q95" s="1"/>
      <c r="R95" s="3"/>
      <c r="S95" s="3"/>
      <c r="T95" s="3"/>
      <c r="Y95" s="50"/>
      <c r="Z95" s="50"/>
    </row>
    <row r="96" spans="9:26" ht="12.75">
      <c r="I96" s="31"/>
      <c r="J96" s="31"/>
      <c r="K96" s="31"/>
      <c r="L96" s="31"/>
      <c r="M96" s="31"/>
      <c r="N96" s="39"/>
      <c r="O96" s="31"/>
      <c r="P96" s="31"/>
      <c r="Q96" s="31"/>
      <c r="R96" s="3"/>
      <c r="S96" s="3"/>
      <c r="T96" s="3"/>
      <c r="Y96" s="51"/>
      <c r="Z96" s="51"/>
    </row>
    <row r="97" spans="9:26" ht="12.75">
      <c r="I97" s="11"/>
      <c r="J97" s="41"/>
      <c r="K97" s="34"/>
      <c r="L97" s="34"/>
      <c r="M97" s="34"/>
      <c r="N97" s="41"/>
      <c r="O97" s="34"/>
      <c r="P97" s="34"/>
      <c r="Q97" s="46"/>
      <c r="R97" s="3"/>
      <c r="S97" s="3"/>
      <c r="T97" s="3"/>
      <c r="Y97" s="52"/>
      <c r="Z97" s="52"/>
    </row>
    <row r="98" spans="9:26" ht="12.75">
      <c r="I98" s="11"/>
      <c r="J98" s="34"/>
      <c r="K98" s="34"/>
      <c r="L98" s="34"/>
      <c r="M98" s="34"/>
      <c r="N98" s="34"/>
      <c r="O98" s="34"/>
      <c r="P98" s="34"/>
      <c r="Q98" s="46"/>
      <c r="R98" s="3"/>
      <c r="S98" s="3"/>
      <c r="T98" s="3"/>
      <c r="Y98" s="34"/>
      <c r="Z98" s="34"/>
    </row>
    <row r="99" spans="9:26" ht="12.75">
      <c r="I99" s="11"/>
      <c r="J99" s="34"/>
      <c r="K99" s="34"/>
      <c r="L99" s="34"/>
      <c r="M99" s="34"/>
      <c r="N99" s="34"/>
      <c r="O99" s="34"/>
      <c r="P99" s="34"/>
      <c r="Q99" s="40"/>
      <c r="R99" s="3"/>
      <c r="S99" s="3"/>
      <c r="T99" s="3"/>
      <c r="Y99" s="34"/>
      <c r="Z99" s="34"/>
    </row>
    <row r="100" spans="9:26" ht="12.75">
      <c r="I100" s="34"/>
      <c r="J100" s="34"/>
      <c r="K100" s="34"/>
      <c r="L100" s="34"/>
      <c r="M100" s="34"/>
      <c r="N100" s="34"/>
      <c r="O100" s="34"/>
      <c r="P100" s="34"/>
      <c r="Q100" s="34"/>
      <c r="R100" s="3"/>
      <c r="S100" s="3"/>
      <c r="T100" s="3"/>
      <c r="Y100" s="35"/>
      <c r="Z100" s="35"/>
    </row>
    <row r="101" spans="9:26" ht="12.75">
      <c r="I101" s="35"/>
      <c r="J101" s="35"/>
      <c r="K101" s="35"/>
      <c r="L101" s="35"/>
      <c r="M101" s="35"/>
      <c r="N101" s="35"/>
      <c r="O101" s="35"/>
      <c r="P101" s="35"/>
      <c r="Q101" s="35"/>
      <c r="R101" s="3"/>
      <c r="S101" s="3"/>
      <c r="T101" s="3"/>
      <c r="Y101" s="35"/>
      <c r="Z101" s="35"/>
    </row>
    <row r="102" spans="9:26" ht="12.75">
      <c r="I102" s="35"/>
      <c r="J102" s="35"/>
      <c r="K102" s="35"/>
      <c r="L102" s="35"/>
      <c r="M102" s="35"/>
      <c r="N102" s="35"/>
      <c r="O102" s="35"/>
      <c r="P102" s="35"/>
      <c r="Q102" s="35"/>
      <c r="R102" s="3"/>
      <c r="S102" s="3"/>
      <c r="T102" s="3"/>
      <c r="Y102" s="3"/>
      <c r="Z102" s="3"/>
    </row>
    <row r="103" spans="9:26" ht="12.75">
      <c r="I103" s="3"/>
      <c r="J103" s="3"/>
      <c r="K103" s="3"/>
      <c r="L103" s="3"/>
      <c r="M103" s="3"/>
      <c r="N103" s="3"/>
      <c r="O103" s="3"/>
      <c r="P103" s="3"/>
      <c r="Q103" s="3"/>
      <c r="R103" s="3"/>
      <c r="S103" s="3"/>
      <c r="T103" s="3"/>
      <c r="Y103" s="3"/>
      <c r="Z103" s="3"/>
    </row>
    <row r="104" spans="9:26" ht="12.75">
      <c r="I104" s="3"/>
      <c r="J104" s="3"/>
      <c r="K104" s="3"/>
      <c r="L104" s="3"/>
      <c r="M104" s="3"/>
      <c r="N104" s="3"/>
      <c r="O104" s="3"/>
      <c r="P104" s="3"/>
      <c r="Q104" s="3"/>
      <c r="R104" s="3"/>
      <c r="S104" s="3"/>
      <c r="T104" s="3"/>
      <c r="Y104" s="3"/>
      <c r="Z104" s="3"/>
    </row>
    <row r="105" spans="9:26" ht="12.75">
      <c r="I105" s="3"/>
      <c r="J105" s="3"/>
      <c r="K105" s="3"/>
      <c r="L105" s="3"/>
      <c r="M105" s="3"/>
      <c r="N105" s="3"/>
      <c r="O105" s="3"/>
      <c r="P105" s="3"/>
      <c r="Q105" s="3"/>
      <c r="R105" s="3"/>
      <c r="S105" s="3"/>
      <c r="T105" s="3"/>
      <c r="Y105" s="3"/>
      <c r="Z105" s="3"/>
    </row>
    <row r="106" spans="9:26" ht="12.75">
      <c r="I106" s="3"/>
      <c r="J106" s="3"/>
      <c r="K106" s="3"/>
      <c r="L106" s="3"/>
      <c r="M106" s="3"/>
      <c r="N106" s="3"/>
      <c r="O106" s="3"/>
      <c r="P106" s="3"/>
      <c r="Q106" s="3"/>
      <c r="R106" s="3"/>
      <c r="S106" s="3"/>
      <c r="T106" s="3"/>
      <c r="Y106" s="3"/>
      <c r="Z106" s="3"/>
    </row>
    <row r="107" spans="9:20" ht="12.75">
      <c r="I107" s="3"/>
      <c r="J107" s="3"/>
      <c r="K107" s="3"/>
      <c r="L107" s="3"/>
      <c r="M107" s="3"/>
      <c r="N107" s="3"/>
      <c r="O107" s="3"/>
      <c r="P107" s="3"/>
      <c r="Q107" s="3"/>
      <c r="R107" s="3"/>
      <c r="S107" s="3"/>
      <c r="T107" s="3"/>
    </row>
  </sheetData>
  <mergeCells count="8">
    <mergeCell ref="C8:D8"/>
    <mergeCell ref="C9:D9"/>
    <mergeCell ref="C58:D58"/>
    <mergeCell ref="C59:D59"/>
    <mergeCell ref="U9:V9"/>
    <mergeCell ref="U59:V59"/>
    <mergeCell ref="S8:V8"/>
    <mergeCell ref="S58:V58"/>
  </mergeCells>
  <conditionalFormatting sqref="A77 A70 A65 A56:A57">
    <cfRule type="cellIs" priority="1" dxfId="0" operator="equal" stopIfTrue="1">
      <formula>0</formula>
    </cfRule>
  </conditionalFormatting>
  <printOptions/>
  <pageMargins left="0.59" right="0.59" top="0.52" bottom="0.51" header="0.5" footer="0.3"/>
  <pageSetup horizontalDpi="600" verticalDpi="600" orientation="landscape" scale="51" r:id="rId2"/>
  <headerFooter alignWithMargins="0">
    <oddFooter>&amp;LCCI Supplementary Fiscal Q4/09 - May 20, 2009&amp;CPage 1</oddFooter>
  </headerFooter>
  <drawing r:id="rId1"/>
</worksheet>
</file>

<file path=xl/worksheets/sheet4.xml><?xml version="1.0" encoding="utf-8"?>
<worksheet xmlns="http://schemas.openxmlformats.org/spreadsheetml/2006/main" xmlns:r="http://schemas.openxmlformats.org/officeDocument/2006/relationships">
  <dimension ref="A1:AK97"/>
  <sheetViews>
    <sheetView zoomScale="75" zoomScaleNormal="75" workbookViewId="0" topLeftCell="A1">
      <pane ySplit="10" topLeftCell="BM29" activePane="bottomLeft" state="frozen"/>
      <selection pane="topLeft" activeCell="B36" sqref="B36:L37"/>
      <selection pane="bottomLeft" activeCell="B36" sqref="B36:L37"/>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7109375" style="3" customWidth="1"/>
    <col min="7" max="7" width="9.57421875" style="3" customWidth="1"/>
    <col min="8" max="8" width="9.7109375" style="3" customWidth="1"/>
    <col min="9" max="14" width="9.7109375" style="0" customWidth="1"/>
    <col min="15" max="17" width="9.7109375" style="0" hidden="1" customWidth="1"/>
    <col min="18" max="18" width="1.7109375" style="0" customWidth="1"/>
    <col min="19" max="20" width="9.7109375" style="0" hidden="1" customWidth="1"/>
    <col min="21" max="22" width="9.7109375" style="0" customWidth="1"/>
    <col min="23" max="23" width="1.57421875" style="0" customWidth="1"/>
    <col min="24" max="28" width="9.7109375" style="0" customWidth="1"/>
    <col min="29" max="29" width="9.7109375" style="0" hidden="1" customWidth="1"/>
    <col min="30" max="30" width="1.57421875" style="0" customWidth="1"/>
  </cols>
  <sheetData>
    <row r="1" spans="7:28" ht="12.75">
      <c r="G1" s="520"/>
      <c r="H1" s="520"/>
      <c r="J1" s="396"/>
      <c r="K1" s="396"/>
      <c r="L1" s="396"/>
      <c r="M1" s="396"/>
      <c r="N1" s="396"/>
      <c r="O1" s="396"/>
      <c r="Q1" s="396"/>
      <c r="V1" s="396"/>
      <c r="X1" s="396"/>
      <c r="Y1" s="396"/>
      <c r="AA1" s="396"/>
      <c r="AB1" s="396"/>
    </row>
    <row r="2" spans="7:28" ht="12.75">
      <c r="G2" s="520"/>
      <c r="H2" s="520"/>
      <c r="I2" s="396"/>
      <c r="J2" s="396"/>
      <c r="K2" s="396"/>
      <c r="L2" s="396"/>
      <c r="M2" s="396"/>
      <c r="N2" s="396"/>
      <c r="O2" s="396"/>
      <c r="Q2" s="396"/>
      <c r="V2" s="396"/>
      <c r="X2" s="396"/>
      <c r="Y2" s="396"/>
      <c r="AA2" s="396"/>
      <c r="AB2" s="396"/>
    </row>
    <row r="3" spans="7:28" ht="12.75">
      <c r="G3" s="520"/>
      <c r="H3" s="520"/>
      <c r="I3" s="396"/>
      <c r="J3" s="396"/>
      <c r="K3" s="396"/>
      <c r="L3" s="396"/>
      <c r="M3" s="396"/>
      <c r="N3" s="396"/>
      <c r="O3" s="396"/>
      <c r="Q3" s="396"/>
      <c r="V3" s="396"/>
      <c r="X3" s="396"/>
      <c r="AA3" s="396"/>
      <c r="AB3" s="396"/>
    </row>
    <row r="4" spans="6:28" ht="12.75">
      <c r="F4" s="2"/>
      <c r="G4" s="520"/>
      <c r="H4" s="520"/>
      <c r="J4" s="396"/>
      <c r="K4" s="396"/>
      <c r="L4" s="396"/>
      <c r="M4" s="396"/>
      <c r="N4" s="396"/>
      <c r="O4" s="396"/>
      <c r="Q4" s="396"/>
      <c r="V4" s="396"/>
      <c r="X4" s="396"/>
      <c r="Y4" s="396"/>
      <c r="AA4" s="396"/>
      <c r="AB4" s="396"/>
    </row>
    <row r="5" spans="1:28" ht="12.75">
      <c r="A5" s="3"/>
      <c r="B5" s="3"/>
      <c r="C5" s="3"/>
      <c r="D5" s="3"/>
      <c r="F5" s="2"/>
      <c r="G5" s="520"/>
      <c r="H5" s="520"/>
      <c r="I5" s="3"/>
      <c r="J5" s="396"/>
      <c r="K5" s="396"/>
      <c r="L5" s="396"/>
      <c r="M5" s="396"/>
      <c r="N5" s="396"/>
      <c r="O5" s="396"/>
      <c r="V5" s="396"/>
      <c r="X5" s="396"/>
      <c r="Y5" s="396"/>
      <c r="AA5" s="396"/>
      <c r="AB5" s="396"/>
    </row>
    <row r="6" spans="1:28" ht="18" customHeight="1">
      <c r="A6" s="146" t="s">
        <v>82</v>
      </c>
      <c r="B6" s="3"/>
      <c r="C6" s="3"/>
      <c r="D6" s="3"/>
      <c r="F6" s="2"/>
      <c r="G6" s="520"/>
      <c r="H6" s="520"/>
      <c r="I6" s="3"/>
      <c r="J6" s="396"/>
      <c r="K6" s="298"/>
      <c r="M6" s="396"/>
      <c r="N6" s="396"/>
      <c r="O6" s="396"/>
      <c r="V6" s="396"/>
      <c r="Y6" s="396"/>
      <c r="AA6" s="396"/>
      <c r="AB6" s="396"/>
    </row>
    <row r="7" spans="1:28" ht="18" customHeight="1">
      <c r="A7" s="146" t="s">
        <v>67</v>
      </c>
      <c r="B7" s="5"/>
      <c r="C7" s="5"/>
      <c r="D7" s="5"/>
      <c r="E7" s="5"/>
      <c r="F7" s="5"/>
      <c r="G7" s="520"/>
      <c r="H7" s="520"/>
      <c r="I7" s="2"/>
      <c r="J7" s="396"/>
      <c r="K7" s="298"/>
      <c r="L7" s="396"/>
      <c r="M7" s="396"/>
      <c r="N7" s="396"/>
      <c r="O7" s="396"/>
      <c r="V7" s="396"/>
      <c r="Y7" s="396"/>
      <c r="AA7" s="396"/>
      <c r="AB7" s="396"/>
    </row>
    <row r="8" spans="1:22" ht="9.75" customHeight="1">
      <c r="A8" s="2"/>
      <c r="B8" s="2"/>
      <c r="C8" s="2"/>
      <c r="D8" s="2"/>
      <c r="E8" s="2"/>
      <c r="F8" s="563"/>
      <c r="G8" s="2"/>
      <c r="H8" s="2"/>
      <c r="I8" s="3"/>
      <c r="J8" s="3"/>
      <c r="K8" s="3"/>
      <c r="S8" s="639"/>
      <c r="T8" s="639"/>
      <c r="U8" s="639"/>
      <c r="V8" s="639"/>
    </row>
    <row r="9" spans="1:29" ht="12.75">
      <c r="A9" s="6" t="s">
        <v>1</v>
      </c>
      <c r="B9" s="7"/>
      <c r="C9" s="611" t="s">
        <v>286</v>
      </c>
      <c r="D9" s="629"/>
      <c r="E9" s="15"/>
      <c r="F9" s="17"/>
      <c r="G9" s="18"/>
      <c r="H9" s="18"/>
      <c r="I9" s="19"/>
      <c r="J9" s="18"/>
      <c r="K9" s="18"/>
      <c r="L9" s="18"/>
      <c r="M9" s="18"/>
      <c r="N9" s="22"/>
      <c r="O9" s="19"/>
      <c r="P9" s="19"/>
      <c r="Q9" s="19"/>
      <c r="R9" s="24"/>
      <c r="S9" s="611" t="s">
        <v>285</v>
      </c>
      <c r="T9" s="602"/>
      <c r="U9" s="602"/>
      <c r="V9" s="603"/>
      <c r="W9" s="15"/>
      <c r="X9" s="98"/>
      <c r="Y9" s="17"/>
      <c r="Z9" s="22"/>
      <c r="AA9" s="98"/>
      <c r="AB9" s="363"/>
      <c r="AC9" s="22"/>
    </row>
    <row r="10" spans="1:37" ht="13.5">
      <c r="A10" s="6" t="s">
        <v>2</v>
      </c>
      <c r="B10" s="7"/>
      <c r="C10" s="630" t="s">
        <v>51</v>
      </c>
      <c r="D10" s="631"/>
      <c r="E10" s="16"/>
      <c r="F10" s="20" t="s">
        <v>166</v>
      </c>
      <c r="G10" s="21" t="s">
        <v>167</v>
      </c>
      <c r="H10" s="21" t="s">
        <v>168</v>
      </c>
      <c r="I10" s="14" t="s">
        <v>42</v>
      </c>
      <c r="J10" s="21" t="s">
        <v>43</v>
      </c>
      <c r="K10" s="21" t="s">
        <v>44</v>
      </c>
      <c r="L10" s="21" t="s">
        <v>45</v>
      </c>
      <c r="M10" s="21" t="s">
        <v>46</v>
      </c>
      <c r="N10" s="23" t="s">
        <v>47</v>
      </c>
      <c r="O10" s="14" t="s">
        <v>48</v>
      </c>
      <c r="P10" s="14" t="s">
        <v>49</v>
      </c>
      <c r="Q10" s="14" t="s">
        <v>50</v>
      </c>
      <c r="R10" s="345"/>
      <c r="S10" s="318" t="s">
        <v>55</v>
      </c>
      <c r="T10" s="15" t="s">
        <v>52</v>
      </c>
      <c r="U10" s="607" t="s">
        <v>51</v>
      </c>
      <c r="V10" s="608"/>
      <c r="W10" s="16"/>
      <c r="X10" s="20" t="s">
        <v>55</v>
      </c>
      <c r="Y10" s="20" t="s">
        <v>52</v>
      </c>
      <c r="Z10" s="23" t="s">
        <v>53</v>
      </c>
      <c r="AA10" s="23" t="s">
        <v>242</v>
      </c>
      <c r="AB10" s="23" t="s">
        <v>243</v>
      </c>
      <c r="AC10" s="392" t="s">
        <v>249</v>
      </c>
      <c r="AD10" s="3"/>
      <c r="AE10" s="3"/>
      <c r="AF10" s="3"/>
      <c r="AG10" s="3"/>
      <c r="AH10" s="3"/>
      <c r="AI10" s="3"/>
      <c r="AJ10" s="3"/>
      <c r="AK10" s="3"/>
    </row>
    <row r="11" spans="1:29" ht="12.75" customHeight="1">
      <c r="A11" s="227" t="s">
        <v>136</v>
      </c>
      <c r="B11" s="8"/>
      <c r="C11" s="249"/>
      <c r="D11" s="250"/>
      <c r="E11" s="233"/>
      <c r="F11" s="249"/>
      <c r="G11" s="233"/>
      <c r="H11" s="233"/>
      <c r="I11" s="251"/>
      <c r="J11" s="233"/>
      <c r="K11" s="233"/>
      <c r="L11" s="233"/>
      <c r="M11" s="251"/>
      <c r="N11" s="99"/>
      <c r="O11" s="251"/>
      <c r="P11" s="251"/>
      <c r="Q11" s="251"/>
      <c r="R11" s="99"/>
      <c r="S11" s="282"/>
      <c r="T11" s="281"/>
      <c r="U11" s="281"/>
      <c r="V11" s="250"/>
      <c r="W11" s="92"/>
      <c r="X11" s="99"/>
      <c r="Y11" s="249"/>
      <c r="Z11" s="99"/>
      <c r="AA11" s="95"/>
      <c r="AB11" s="95"/>
      <c r="AC11" s="95"/>
    </row>
    <row r="12" spans="1:29" ht="12.75" customHeight="1">
      <c r="A12" s="7"/>
      <c r="B12" s="7" t="s">
        <v>137</v>
      </c>
      <c r="C12" s="37">
        <f aca="true" t="shared" si="0" ref="C12:C17">F12-J12</f>
        <v>-20580</v>
      </c>
      <c r="D12" s="29">
        <f aca="true" t="shared" si="1" ref="D12:D17">C12/J12</f>
        <v>-0.2957533951282604</v>
      </c>
      <c r="E12" s="40"/>
      <c r="F12" s="575">
        <v>49005</v>
      </c>
      <c r="G12" s="529">
        <v>51473</v>
      </c>
      <c r="H12" s="529">
        <v>60630</v>
      </c>
      <c r="I12" s="302">
        <v>71996</v>
      </c>
      <c r="J12" s="252">
        <v>69585</v>
      </c>
      <c r="K12" s="252">
        <v>74959</v>
      </c>
      <c r="L12" s="252">
        <v>65728</v>
      </c>
      <c r="M12" s="253">
        <v>85775</v>
      </c>
      <c r="N12" s="263">
        <v>87682</v>
      </c>
      <c r="O12" s="253">
        <v>74380</v>
      </c>
      <c r="P12" s="253">
        <v>63556</v>
      </c>
      <c r="Q12" s="253">
        <v>78054</v>
      </c>
      <c r="R12" s="99"/>
      <c r="S12" s="261">
        <f aca="true" t="shared" si="2" ref="S12:T17">X12</f>
        <v>233104</v>
      </c>
      <c r="T12" s="299">
        <f t="shared" si="2"/>
        <v>296047</v>
      </c>
      <c r="U12" s="299">
        <f>S12-T12</f>
        <v>-62943</v>
      </c>
      <c r="V12" s="421">
        <f>U12/T12</f>
        <v>-0.2126115110100761</v>
      </c>
      <c r="W12" s="92"/>
      <c r="X12" s="246">
        <f>F12+G12+H12+I12</f>
        <v>233104</v>
      </c>
      <c r="Y12" s="246">
        <v>296047</v>
      </c>
      <c r="Z12" s="246">
        <v>303672</v>
      </c>
      <c r="AA12" s="42">
        <v>239461</v>
      </c>
      <c r="AB12" s="42">
        <v>168978</v>
      </c>
      <c r="AC12" s="42">
        <v>162242</v>
      </c>
    </row>
    <row r="13" spans="1:29" ht="12.75" customHeight="1">
      <c r="A13" s="7"/>
      <c r="B13" s="7" t="s">
        <v>138</v>
      </c>
      <c r="C13" s="37">
        <f t="shared" si="0"/>
        <v>-10608</v>
      </c>
      <c r="D13" s="29">
        <f t="shared" si="1"/>
        <v>-0.2138364779874214</v>
      </c>
      <c r="E13" s="40"/>
      <c r="F13" s="575">
        <v>39000</v>
      </c>
      <c r="G13" s="529">
        <v>20198</v>
      </c>
      <c r="H13" s="529">
        <v>34024</v>
      </c>
      <c r="I13" s="302">
        <v>76147</v>
      </c>
      <c r="J13" s="252">
        <v>49608</v>
      </c>
      <c r="K13" s="252">
        <v>84910</v>
      </c>
      <c r="L13" s="252">
        <v>73731</v>
      </c>
      <c r="M13" s="253">
        <v>128625</v>
      </c>
      <c r="N13" s="263">
        <v>99138</v>
      </c>
      <c r="O13" s="253">
        <v>78177</v>
      </c>
      <c r="P13" s="253">
        <v>70118</v>
      </c>
      <c r="Q13" s="253">
        <v>102840</v>
      </c>
      <c r="R13" s="99"/>
      <c r="S13" s="261">
        <f t="shared" si="2"/>
        <v>169369</v>
      </c>
      <c r="T13" s="299">
        <f t="shared" si="2"/>
        <v>336874</v>
      </c>
      <c r="U13" s="299">
        <f aca="true" t="shared" si="3" ref="U13:U52">S13-T13</f>
        <v>-167505</v>
      </c>
      <c r="V13" s="421">
        <f aca="true" t="shared" si="4" ref="V13:V52">U13/T13</f>
        <v>-0.49723338696367186</v>
      </c>
      <c r="W13" s="92"/>
      <c r="X13" s="246">
        <f>F13+G13+H13+I13</f>
        <v>169369</v>
      </c>
      <c r="Y13" s="246">
        <v>336874</v>
      </c>
      <c r="Z13" s="246">
        <v>350273</v>
      </c>
      <c r="AA13" s="42">
        <v>266206</v>
      </c>
      <c r="AB13" s="42">
        <v>214450</v>
      </c>
      <c r="AC13" s="42">
        <v>188001</v>
      </c>
    </row>
    <row r="14" spans="1:29" ht="12.75" customHeight="1">
      <c r="A14" s="7"/>
      <c r="B14" s="7" t="s">
        <v>139</v>
      </c>
      <c r="C14" s="37">
        <f t="shared" si="0"/>
        <v>4372</v>
      </c>
      <c r="D14" s="29">
        <f t="shared" si="1"/>
        <v>1.0489443378119</v>
      </c>
      <c r="E14" s="40"/>
      <c r="F14" s="575">
        <f>8541-1</f>
        <v>8540</v>
      </c>
      <c r="G14" s="529">
        <v>3781</v>
      </c>
      <c r="H14" s="529">
        <v>87</v>
      </c>
      <c r="I14" s="302">
        <v>5911</v>
      </c>
      <c r="J14" s="252">
        <v>4168</v>
      </c>
      <c r="K14" s="252">
        <v>387</v>
      </c>
      <c r="L14" s="252">
        <v>-3925</v>
      </c>
      <c r="M14" s="253">
        <v>6813</v>
      </c>
      <c r="N14" s="263">
        <v>9429</v>
      </c>
      <c r="O14" s="253">
        <v>9035</v>
      </c>
      <c r="P14" s="253">
        <v>5390</v>
      </c>
      <c r="Q14" s="253">
        <v>7784</v>
      </c>
      <c r="R14" s="99"/>
      <c r="S14" s="261">
        <f t="shared" si="2"/>
        <v>18319</v>
      </c>
      <c r="T14" s="299">
        <f t="shared" si="2"/>
        <v>7443</v>
      </c>
      <c r="U14" s="299">
        <f t="shared" si="3"/>
        <v>10876</v>
      </c>
      <c r="V14" s="421">
        <f t="shared" si="4"/>
        <v>1.4612387478167406</v>
      </c>
      <c r="W14" s="92"/>
      <c r="X14" s="246">
        <f>F14+G14+H14+I14</f>
        <v>18319</v>
      </c>
      <c r="Y14" s="246">
        <v>7443</v>
      </c>
      <c r="Z14" s="246">
        <v>31638</v>
      </c>
      <c r="AA14" s="42">
        <v>27388</v>
      </c>
      <c r="AB14" s="42">
        <v>13584</v>
      </c>
      <c r="AC14" s="42">
        <v>27513</v>
      </c>
    </row>
    <row r="15" spans="1:29" ht="12.75" customHeight="1">
      <c r="A15" s="7"/>
      <c r="B15" s="7" t="s">
        <v>140</v>
      </c>
      <c r="C15" s="37">
        <f t="shared" si="0"/>
        <v>-9458</v>
      </c>
      <c r="D15" s="29">
        <f t="shared" si="1"/>
        <v>-0.6489639083299026</v>
      </c>
      <c r="E15" s="40"/>
      <c r="F15" s="575">
        <v>5116</v>
      </c>
      <c r="G15" s="529">
        <v>9108</v>
      </c>
      <c r="H15" s="529">
        <v>11734</v>
      </c>
      <c r="I15" s="302">
        <v>12329</v>
      </c>
      <c r="J15" s="252">
        <v>14574</v>
      </c>
      <c r="K15" s="252">
        <v>16011</v>
      </c>
      <c r="L15" s="252">
        <v>16273</v>
      </c>
      <c r="M15" s="253">
        <v>16310</v>
      </c>
      <c r="N15" s="263">
        <v>15656</v>
      </c>
      <c r="O15" s="253">
        <v>14355</v>
      </c>
      <c r="P15" s="253">
        <v>14259</v>
      </c>
      <c r="Q15" s="253">
        <v>13638</v>
      </c>
      <c r="R15" s="99"/>
      <c r="S15" s="261">
        <f t="shared" si="2"/>
        <v>38287</v>
      </c>
      <c r="T15" s="299">
        <f t="shared" si="2"/>
        <v>63168</v>
      </c>
      <c r="U15" s="299">
        <f t="shared" si="3"/>
        <v>-24881</v>
      </c>
      <c r="V15" s="421">
        <f t="shared" si="4"/>
        <v>-0.39388614488348533</v>
      </c>
      <c r="W15" s="92"/>
      <c r="X15" s="246">
        <f>F15+G15+H15+I15</f>
        <v>38287</v>
      </c>
      <c r="Y15" s="246">
        <v>63168</v>
      </c>
      <c r="Z15" s="246">
        <v>57908</v>
      </c>
      <c r="AA15" s="42">
        <v>36914</v>
      </c>
      <c r="AB15" s="42">
        <v>26488</v>
      </c>
      <c r="AC15" s="42">
        <v>15853</v>
      </c>
    </row>
    <row r="16" spans="1:29" ht="12.75" customHeight="1">
      <c r="A16" s="7"/>
      <c r="B16" s="7" t="s">
        <v>141</v>
      </c>
      <c r="C16" s="37">
        <f t="shared" si="0"/>
        <v>-176</v>
      </c>
      <c r="D16" s="29">
        <f t="shared" si="1"/>
        <v>-0.031936127744510975</v>
      </c>
      <c r="E16" s="40"/>
      <c r="F16" s="575">
        <v>5335</v>
      </c>
      <c r="G16" s="529">
        <v>2628</v>
      </c>
      <c r="H16" s="529">
        <v>4354</v>
      </c>
      <c r="I16" s="302">
        <v>6325</v>
      </c>
      <c r="J16" s="252">
        <v>5511</v>
      </c>
      <c r="K16" s="252">
        <v>7087</v>
      </c>
      <c r="L16" s="252">
        <v>7062</v>
      </c>
      <c r="M16" s="253">
        <v>8347</v>
      </c>
      <c r="N16" s="263">
        <v>4538</v>
      </c>
      <c r="O16" s="253">
        <v>2366</v>
      </c>
      <c r="P16" s="253">
        <v>2708</v>
      </c>
      <c r="Q16" s="253">
        <v>3811</v>
      </c>
      <c r="R16" s="99"/>
      <c r="S16" s="261">
        <f t="shared" si="2"/>
        <v>18642</v>
      </c>
      <c r="T16" s="299">
        <f t="shared" si="2"/>
        <v>28007</v>
      </c>
      <c r="U16" s="299">
        <f t="shared" si="3"/>
        <v>-9365</v>
      </c>
      <c r="V16" s="421">
        <f t="shared" si="4"/>
        <v>-0.3343806905416503</v>
      </c>
      <c r="W16" s="92"/>
      <c r="X16" s="246">
        <f>F16+G16+H16+I16</f>
        <v>18642</v>
      </c>
      <c r="Y16" s="246">
        <v>28007</v>
      </c>
      <c r="Z16" s="246">
        <v>13423</v>
      </c>
      <c r="AA16" s="42">
        <v>13446</v>
      </c>
      <c r="AB16" s="42">
        <v>9278</v>
      </c>
      <c r="AC16" s="42">
        <v>8548</v>
      </c>
    </row>
    <row r="17" spans="1:29" ht="12.75" customHeight="1">
      <c r="A17" s="8"/>
      <c r="B17" s="7"/>
      <c r="C17" s="254">
        <f t="shared" si="0"/>
        <v>-36450</v>
      </c>
      <c r="D17" s="255">
        <f t="shared" si="1"/>
        <v>-0.25410258912761596</v>
      </c>
      <c r="E17" s="40"/>
      <c r="F17" s="586">
        <f>SUM(F12:F16)</f>
        <v>106996</v>
      </c>
      <c r="G17" s="539">
        <v>87188</v>
      </c>
      <c r="H17" s="539">
        <v>110829</v>
      </c>
      <c r="I17" s="307">
        <v>172708</v>
      </c>
      <c r="J17" s="258">
        <v>143446</v>
      </c>
      <c r="K17" s="258">
        <v>183354</v>
      </c>
      <c r="L17" s="258">
        <v>158869</v>
      </c>
      <c r="M17" s="259">
        <v>245870</v>
      </c>
      <c r="N17" s="565">
        <v>216443</v>
      </c>
      <c r="O17" s="259">
        <v>178313</v>
      </c>
      <c r="P17" s="259">
        <v>156031</v>
      </c>
      <c r="Q17" s="259">
        <v>206127</v>
      </c>
      <c r="R17" s="99"/>
      <c r="S17" s="257">
        <f t="shared" si="2"/>
        <v>477721</v>
      </c>
      <c r="T17" s="258">
        <f t="shared" si="2"/>
        <v>731539</v>
      </c>
      <c r="U17" s="258">
        <f t="shared" si="3"/>
        <v>-253818</v>
      </c>
      <c r="V17" s="427">
        <f t="shared" si="4"/>
        <v>-0.346964413380558</v>
      </c>
      <c r="W17" s="92"/>
      <c r="X17" s="256">
        <f>SUM(X12:X16)</f>
        <v>477721</v>
      </c>
      <c r="Y17" s="256">
        <v>731539</v>
      </c>
      <c r="Z17" s="256">
        <v>756914</v>
      </c>
      <c r="AA17" s="369">
        <v>583415</v>
      </c>
      <c r="AB17" s="369">
        <v>432778</v>
      </c>
      <c r="AC17" s="369">
        <v>402157</v>
      </c>
    </row>
    <row r="18" spans="1:29" ht="12.75" customHeight="1">
      <c r="A18" s="227" t="s">
        <v>5</v>
      </c>
      <c r="B18" s="7"/>
      <c r="C18" s="37"/>
      <c r="D18" s="29"/>
      <c r="E18" s="40"/>
      <c r="F18" s="496"/>
      <c r="G18" s="529"/>
      <c r="H18" s="529"/>
      <c r="I18" s="302"/>
      <c r="J18" s="252"/>
      <c r="K18" s="252"/>
      <c r="L18" s="252"/>
      <c r="M18" s="253"/>
      <c r="N18" s="263"/>
      <c r="O18" s="253"/>
      <c r="P18" s="253"/>
      <c r="Q18" s="253"/>
      <c r="R18" s="99"/>
      <c r="S18" s="261"/>
      <c r="T18" s="299"/>
      <c r="U18" s="299"/>
      <c r="V18" s="421"/>
      <c r="W18" s="92"/>
      <c r="X18" s="99"/>
      <c r="Y18" s="246"/>
      <c r="Z18" s="246"/>
      <c r="AA18" s="42"/>
      <c r="AB18" s="42"/>
      <c r="AC18" s="42"/>
    </row>
    <row r="19" spans="1:29" ht="12.75" customHeight="1">
      <c r="A19" s="8"/>
      <c r="B19" s="92" t="s">
        <v>238</v>
      </c>
      <c r="C19" s="37">
        <f aca="true" t="shared" si="5" ref="C19:C33">F19-J19</f>
        <v>-18476</v>
      </c>
      <c r="D19" s="29">
        <f aca="true" t="shared" si="6" ref="D19:D33">C19/J19</f>
        <v>-0.2910568849540793</v>
      </c>
      <c r="E19" s="40"/>
      <c r="F19" s="575">
        <v>45003</v>
      </c>
      <c r="G19" s="529">
        <v>43299</v>
      </c>
      <c r="H19" s="529">
        <v>50977</v>
      </c>
      <c r="I19" s="302">
        <v>82727</v>
      </c>
      <c r="J19" s="252">
        <v>63479</v>
      </c>
      <c r="K19" s="252">
        <v>90778</v>
      </c>
      <c r="L19" s="252">
        <v>71416</v>
      </c>
      <c r="M19" s="253">
        <v>121406</v>
      </c>
      <c r="N19" s="263">
        <v>113502</v>
      </c>
      <c r="O19" s="253">
        <v>89466</v>
      </c>
      <c r="P19" s="253">
        <v>74974</v>
      </c>
      <c r="Q19" s="253">
        <v>104955</v>
      </c>
      <c r="R19" s="99"/>
      <c r="S19" s="261">
        <f aca="true" t="shared" si="7" ref="S19:S33">X19</f>
        <v>222006</v>
      </c>
      <c r="T19" s="299">
        <f aca="true" t="shared" si="8" ref="T19:T33">Y19</f>
        <v>347079</v>
      </c>
      <c r="U19" s="299">
        <f t="shared" si="3"/>
        <v>-125073</v>
      </c>
      <c r="V19" s="421">
        <f t="shared" si="4"/>
        <v>-0.36035888083116524</v>
      </c>
      <c r="W19" s="92"/>
      <c r="X19" s="246">
        <f>F19+G19+H19+I19</f>
        <v>222006</v>
      </c>
      <c r="Y19" s="246">
        <v>347079</v>
      </c>
      <c r="Z19" s="246">
        <v>382897</v>
      </c>
      <c r="AA19" s="42">
        <v>299188</v>
      </c>
      <c r="AB19" s="42">
        <v>220454</v>
      </c>
      <c r="AC19" s="42">
        <v>218802</v>
      </c>
    </row>
    <row r="20" spans="1:29" ht="12.75" customHeight="1">
      <c r="A20" s="8"/>
      <c r="B20" s="7" t="s">
        <v>142</v>
      </c>
      <c r="C20" s="37">
        <f t="shared" si="5"/>
        <v>-402</v>
      </c>
      <c r="D20" s="29">
        <f t="shared" si="6"/>
        <v>-0.027313493681206686</v>
      </c>
      <c r="E20" s="40"/>
      <c r="F20" s="575">
        <v>14316</v>
      </c>
      <c r="G20" s="529">
        <v>12817</v>
      </c>
      <c r="H20" s="529">
        <v>14195</v>
      </c>
      <c r="I20" s="302">
        <v>15443</v>
      </c>
      <c r="J20" s="252">
        <v>14718</v>
      </c>
      <c r="K20" s="252">
        <v>12658</v>
      </c>
      <c r="L20" s="252">
        <v>12649</v>
      </c>
      <c r="M20" s="253">
        <v>14269</v>
      </c>
      <c r="N20" s="263">
        <v>12862</v>
      </c>
      <c r="O20" s="253">
        <v>11610</v>
      </c>
      <c r="P20" s="253">
        <v>10643</v>
      </c>
      <c r="Q20" s="253">
        <v>12493</v>
      </c>
      <c r="R20" s="99"/>
      <c r="S20" s="261">
        <f t="shared" si="7"/>
        <v>56771</v>
      </c>
      <c r="T20" s="299">
        <f t="shared" si="8"/>
        <v>54294</v>
      </c>
      <c r="U20" s="299">
        <f t="shared" si="3"/>
        <v>2477</v>
      </c>
      <c r="V20" s="421">
        <f t="shared" si="4"/>
        <v>0.045621984012966445</v>
      </c>
      <c r="W20" s="92"/>
      <c r="X20" s="246">
        <f aca="true" t="shared" si="9" ref="X20:X32">F20+G20+H20+I20</f>
        <v>56771</v>
      </c>
      <c r="Y20" s="246">
        <v>54294</v>
      </c>
      <c r="Z20" s="246">
        <v>47608</v>
      </c>
      <c r="AA20" s="42">
        <v>42019</v>
      </c>
      <c r="AB20" s="42">
        <v>45715</v>
      </c>
      <c r="AC20" s="42">
        <v>37193</v>
      </c>
    </row>
    <row r="21" spans="1:29" ht="12.75" customHeight="1">
      <c r="A21" s="8"/>
      <c r="B21" s="7" t="s">
        <v>143</v>
      </c>
      <c r="C21" s="37">
        <f t="shared" si="5"/>
        <v>736</v>
      </c>
      <c r="D21" s="29">
        <f t="shared" si="6"/>
        <v>0.12626522559615713</v>
      </c>
      <c r="E21" s="40"/>
      <c r="F21" s="575">
        <v>6565</v>
      </c>
      <c r="G21" s="529">
        <v>6708</v>
      </c>
      <c r="H21" s="529">
        <v>6717</v>
      </c>
      <c r="I21" s="302">
        <v>6321</v>
      </c>
      <c r="J21" s="252">
        <v>5829</v>
      </c>
      <c r="K21" s="252">
        <v>7054</v>
      </c>
      <c r="L21" s="252">
        <v>7249</v>
      </c>
      <c r="M21" s="253">
        <v>6958</v>
      </c>
      <c r="N21" s="263">
        <v>6718</v>
      </c>
      <c r="O21" s="253">
        <v>6056</v>
      </c>
      <c r="P21" s="253">
        <v>6119</v>
      </c>
      <c r="Q21" s="253">
        <v>8559</v>
      </c>
      <c r="R21" s="99"/>
      <c r="S21" s="261">
        <f t="shared" si="7"/>
        <v>26311</v>
      </c>
      <c r="T21" s="299">
        <f t="shared" si="8"/>
        <v>27090</v>
      </c>
      <c r="U21" s="299">
        <f t="shared" si="3"/>
        <v>-779</v>
      </c>
      <c r="V21" s="421">
        <f t="shared" si="4"/>
        <v>-0.028755998523440383</v>
      </c>
      <c r="W21" s="92"/>
      <c r="X21" s="246">
        <f t="shared" si="9"/>
        <v>26311</v>
      </c>
      <c r="Y21" s="246">
        <v>27090</v>
      </c>
      <c r="Z21" s="246">
        <v>27452</v>
      </c>
      <c r="AA21" s="42">
        <v>20615</v>
      </c>
      <c r="AB21" s="42">
        <v>16863</v>
      </c>
      <c r="AC21" s="42">
        <v>17310</v>
      </c>
    </row>
    <row r="22" spans="1:29" ht="12.75" customHeight="1">
      <c r="A22" s="8"/>
      <c r="B22" s="7" t="s">
        <v>144</v>
      </c>
      <c r="C22" s="37">
        <f t="shared" si="5"/>
        <v>434</v>
      </c>
      <c r="D22" s="29">
        <f t="shared" si="6"/>
        <v>0.07269681742043552</v>
      </c>
      <c r="E22" s="40"/>
      <c r="F22" s="575">
        <v>6404</v>
      </c>
      <c r="G22" s="529">
        <v>6549</v>
      </c>
      <c r="H22" s="529">
        <v>5957</v>
      </c>
      <c r="I22" s="302">
        <v>5785</v>
      </c>
      <c r="J22" s="252">
        <v>5970</v>
      </c>
      <c r="K22" s="252">
        <v>5781</v>
      </c>
      <c r="L22" s="252">
        <v>5735</v>
      </c>
      <c r="M22" s="253">
        <v>5259</v>
      </c>
      <c r="N22" s="263">
        <v>7612</v>
      </c>
      <c r="O22" s="253">
        <v>5810</v>
      </c>
      <c r="P22" s="253">
        <v>5814</v>
      </c>
      <c r="Q22" s="253">
        <v>5937</v>
      </c>
      <c r="R22" s="99"/>
      <c r="S22" s="261">
        <f t="shared" si="7"/>
        <v>24695</v>
      </c>
      <c r="T22" s="299">
        <f t="shared" si="8"/>
        <v>22745</v>
      </c>
      <c r="U22" s="299">
        <f t="shared" si="3"/>
        <v>1950</v>
      </c>
      <c r="V22" s="421">
        <f t="shared" si="4"/>
        <v>0.08573312816003517</v>
      </c>
      <c r="W22" s="92"/>
      <c r="X22" s="246">
        <f t="shared" si="9"/>
        <v>24695</v>
      </c>
      <c r="Y22" s="246">
        <v>22745</v>
      </c>
      <c r="Z22" s="246">
        <v>25173</v>
      </c>
      <c r="AA22" s="42">
        <v>15843</v>
      </c>
      <c r="AB22" s="42">
        <v>11849</v>
      </c>
      <c r="AC22" s="42">
        <v>13017</v>
      </c>
    </row>
    <row r="23" spans="1:29" ht="12.75" customHeight="1">
      <c r="A23" s="8"/>
      <c r="B23" s="9" t="s">
        <v>145</v>
      </c>
      <c r="C23" s="37">
        <f t="shared" si="5"/>
        <v>184</v>
      </c>
      <c r="D23" s="29">
        <f t="shared" si="6"/>
        <v>0.03033800494641385</v>
      </c>
      <c r="E23" s="40"/>
      <c r="F23" s="575">
        <v>6249</v>
      </c>
      <c r="G23" s="529">
        <v>6277</v>
      </c>
      <c r="H23" s="529">
        <v>6539</v>
      </c>
      <c r="I23" s="302">
        <v>6163</v>
      </c>
      <c r="J23" s="252">
        <v>6065</v>
      </c>
      <c r="K23" s="252">
        <v>5611</v>
      </c>
      <c r="L23" s="252">
        <v>5813</v>
      </c>
      <c r="M23" s="253">
        <v>5739</v>
      </c>
      <c r="N23" s="263">
        <v>5670</v>
      </c>
      <c r="O23" s="253">
        <v>5352</v>
      </c>
      <c r="P23" s="253">
        <v>5387</v>
      </c>
      <c r="Q23" s="253">
        <v>5063</v>
      </c>
      <c r="R23" s="99"/>
      <c r="S23" s="261">
        <f t="shared" si="7"/>
        <v>25228</v>
      </c>
      <c r="T23" s="299">
        <f t="shared" si="8"/>
        <v>23228</v>
      </c>
      <c r="U23" s="299">
        <f t="shared" si="3"/>
        <v>2000</v>
      </c>
      <c r="V23" s="421">
        <f t="shared" si="4"/>
        <v>0.08610297916307905</v>
      </c>
      <c r="W23" s="92"/>
      <c r="X23" s="246">
        <f t="shared" si="9"/>
        <v>25228</v>
      </c>
      <c r="Y23" s="246">
        <v>23228</v>
      </c>
      <c r="Z23" s="246">
        <v>21472</v>
      </c>
      <c r="AA23" s="42">
        <v>16598</v>
      </c>
      <c r="AB23" s="42">
        <v>14037</v>
      </c>
      <c r="AC23" s="42">
        <v>12290</v>
      </c>
    </row>
    <row r="24" spans="1:29" ht="12.75" customHeight="1">
      <c r="A24" s="8"/>
      <c r="B24" s="7" t="s">
        <v>140</v>
      </c>
      <c r="C24" s="37">
        <f t="shared" si="5"/>
        <v>-4033</v>
      </c>
      <c r="D24" s="29">
        <f t="shared" si="6"/>
        <v>-0.7507446016381236</v>
      </c>
      <c r="E24" s="40"/>
      <c r="F24" s="575">
        <v>1339</v>
      </c>
      <c r="G24" s="529">
        <v>2568</v>
      </c>
      <c r="H24" s="529">
        <v>3354</v>
      </c>
      <c r="I24" s="302">
        <v>3959</v>
      </c>
      <c r="J24" s="252">
        <v>5372</v>
      </c>
      <c r="K24" s="252">
        <v>6574</v>
      </c>
      <c r="L24" s="252">
        <v>6413</v>
      </c>
      <c r="M24" s="253">
        <v>6168</v>
      </c>
      <c r="N24" s="263">
        <v>5228</v>
      </c>
      <c r="O24" s="253">
        <v>4926</v>
      </c>
      <c r="P24" s="253">
        <v>5402</v>
      </c>
      <c r="Q24" s="253">
        <v>4982</v>
      </c>
      <c r="R24" s="99"/>
      <c r="S24" s="261">
        <f t="shared" si="7"/>
        <v>11220</v>
      </c>
      <c r="T24" s="299">
        <f t="shared" si="8"/>
        <v>24527</v>
      </c>
      <c r="U24" s="299">
        <f t="shared" si="3"/>
        <v>-13307</v>
      </c>
      <c r="V24" s="421">
        <f t="shared" si="4"/>
        <v>-0.5425449504627553</v>
      </c>
      <c r="W24" s="92"/>
      <c r="X24" s="246">
        <f t="shared" si="9"/>
        <v>11220</v>
      </c>
      <c r="Y24" s="246">
        <v>24527</v>
      </c>
      <c r="Z24" s="246">
        <v>20538</v>
      </c>
      <c r="AA24" s="42">
        <v>10914</v>
      </c>
      <c r="AB24" s="42">
        <v>7824</v>
      </c>
      <c r="AC24" s="42">
        <v>3994</v>
      </c>
    </row>
    <row r="25" spans="1:29" ht="12.75" customHeight="1">
      <c r="A25" s="8"/>
      <c r="B25" s="7" t="s">
        <v>146</v>
      </c>
      <c r="C25" s="37">
        <f t="shared" si="5"/>
        <v>-7073</v>
      </c>
      <c r="D25" s="29">
        <f t="shared" si="6"/>
        <v>-0.3919210949188231</v>
      </c>
      <c r="E25" s="40"/>
      <c r="F25" s="575">
        <f>10978-4</f>
        <v>10974</v>
      </c>
      <c r="G25" s="529">
        <v>19827</v>
      </c>
      <c r="H25" s="529">
        <v>19611</v>
      </c>
      <c r="I25" s="302">
        <v>19277</v>
      </c>
      <c r="J25" s="252">
        <v>18047</v>
      </c>
      <c r="K25" s="252">
        <v>17390</v>
      </c>
      <c r="L25" s="252">
        <v>15755</v>
      </c>
      <c r="M25" s="253">
        <v>18271</v>
      </c>
      <c r="N25" s="263">
        <v>16375</v>
      </c>
      <c r="O25" s="253">
        <v>14413</v>
      </c>
      <c r="P25" s="253">
        <v>14287</v>
      </c>
      <c r="Q25" s="253">
        <v>19107</v>
      </c>
      <c r="R25" s="99"/>
      <c r="S25" s="261">
        <f t="shared" si="7"/>
        <v>69689</v>
      </c>
      <c r="T25" s="299">
        <f t="shared" si="8"/>
        <v>69463</v>
      </c>
      <c r="U25" s="299">
        <f t="shared" si="3"/>
        <v>226</v>
      </c>
      <c r="V25" s="421">
        <f t="shared" si="4"/>
        <v>0.003253530656608554</v>
      </c>
      <c r="W25" s="92"/>
      <c r="X25" s="246">
        <f t="shared" si="9"/>
        <v>69689</v>
      </c>
      <c r="Y25" s="246">
        <v>69463</v>
      </c>
      <c r="Z25" s="246">
        <v>64182</v>
      </c>
      <c r="AA25" s="42">
        <v>46227</v>
      </c>
      <c r="AB25" s="42">
        <v>32171</v>
      </c>
      <c r="AC25" s="42">
        <v>25189</v>
      </c>
    </row>
    <row r="26" spans="1:29" ht="12.75" customHeight="1">
      <c r="A26" s="8"/>
      <c r="B26" s="7" t="s">
        <v>147</v>
      </c>
      <c r="C26" s="37">
        <f t="shared" si="5"/>
        <v>-87</v>
      </c>
      <c r="D26" s="29">
        <f t="shared" si="6"/>
        <v>-0.03925992779783394</v>
      </c>
      <c r="E26" s="40"/>
      <c r="F26" s="575">
        <v>2129</v>
      </c>
      <c r="G26" s="529">
        <v>2751</v>
      </c>
      <c r="H26" s="529">
        <v>2072</v>
      </c>
      <c r="I26" s="302">
        <v>2042</v>
      </c>
      <c r="J26" s="252">
        <v>2216</v>
      </c>
      <c r="K26" s="252">
        <v>2197</v>
      </c>
      <c r="L26" s="252">
        <v>2146</v>
      </c>
      <c r="M26" s="253">
        <v>1977</v>
      </c>
      <c r="N26" s="263">
        <v>1999</v>
      </c>
      <c r="O26" s="253">
        <v>1797</v>
      </c>
      <c r="P26" s="253">
        <v>2366</v>
      </c>
      <c r="Q26" s="253">
        <v>1989</v>
      </c>
      <c r="R26" s="99"/>
      <c r="S26" s="261">
        <f t="shared" si="7"/>
        <v>8994</v>
      </c>
      <c r="T26" s="299">
        <f t="shared" si="8"/>
        <v>8536</v>
      </c>
      <c r="U26" s="299">
        <f t="shared" si="3"/>
        <v>458</v>
      </c>
      <c r="V26" s="421">
        <f t="shared" si="4"/>
        <v>0.05365510777881912</v>
      </c>
      <c r="W26" s="92"/>
      <c r="X26" s="246">
        <f t="shared" si="9"/>
        <v>8994</v>
      </c>
      <c r="Y26" s="246">
        <v>8536</v>
      </c>
      <c r="Z26" s="246">
        <v>8151</v>
      </c>
      <c r="AA26" s="42">
        <v>4817</v>
      </c>
      <c r="AB26" s="42">
        <v>3185</v>
      </c>
      <c r="AC26" s="42">
        <v>3565</v>
      </c>
    </row>
    <row r="27" spans="1:29" ht="12.75" customHeight="1">
      <c r="A27" s="7"/>
      <c r="B27" s="7" t="s">
        <v>148</v>
      </c>
      <c r="C27" s="37">
        <f t="shared" si="5"/>
        <v>-2746</v>
      </c>
      <c r="D27" s="29">
        <f t="shared" si="6"/>
        <v>-0.27636876006441224</v>
      </c>
      <c r="E27" s="40"/>
      <c r="F27" s="575">
        <v>7190</v>
      </c>
      <c r="G27" s="529">
        <v>7738</v>
      </c>
      <c r="H27" s="529">
        <v>6383</v>
      </c>
      <c r="I27" s="302">
        <v>7462</v>
      </c>
      <c r="J27" s="252">
        <v>9936</v>
      </c>
      <c r="K27" s="252">
        <v>6774</v>
      </c>
      <c r="L27" s="252">
        <v>8166</v>
      </c>
      <c r="M27" s="253">
        <v>7173</v>
      </c>
      <c r="N27" s="263">
        <v>6341</v>
      </c>
      <c r="O27" s="253">
        <v>5247</v>
      </c>
      <c r="P27" s="253">
        <v>5789</v>
      </c>
      <c r="Q27" s="253">
        <v>3867</v>
      </c>
      <c r="R27" s="99"/>
      <c r="S27" s="261">
        <f t="shared" si="7"/>
        <v>28773</v>
      </c>
      <c r="T27" s="299">
        <f t="shared" si="8"/>
        <v>32049</v>
      </c>
      <c r="U27" s="299">
        <f t="shared" si="3"/>
        <v>-3276</v>
      </c>
      <c r="V27" s="421">
        <f t="shared" si="4"/>
        <v>-0.10221847795563044</v>
      </c>
      <c r="W27" s="92"/>
      <c r="X27" s="246">
        <f t="shared" si="9"/>
        <v>28773</v>
      </c>
      <c r="Y27" s="246">
        <v>32049</v>
      </c>
      <c r="Z27" s="246">
        <v>21244</v>
      </c>
      <c r="AA27" s="42">
        <v>9797</v>
      </c>
      <c r="AB27" s="42">
        <v>7924</v>
      </c>
      <c r="AC27" s="42">
        <v>8240</v>
      </c>
    </row>
    <row r="28" spans="1:29" ht="12.75" customHeight="1">
      <c r="A28" s="7"/>
      <c r="B28" s="7" t="s">
        <v>149</v>
      </c>
      <c r="C28" s="37">
        <f t="shared" si="5"/>
        <v>0</v>
      </c>
      <c r="D28" s="29">
        <v>0</v>
      </c>
      <c r="E28" s="40"/>
      <c r="F28" s="261">
        <v>0</v>
      </c>
      <c r="G28" s="299">
        <v>0</v>
      </c>
      <c r="H28" s="299">
        <v>0</v>
      </c>
      <c r="I28" s="253">
        <v>0</v>
      </c>
      <c r="J28" s="252">
        <v>0</v>
      </c>
      <c r="K28" s="252">
        <v>0</v>
      </c>
      <c r="L28" s="252">
        <v>0</v>
      </c>
      <c r="M28" s="253">
        <v>0</v>
      </c>
      <c r="N28" s="263">
        <v>0</v>
      </c>
      <c r="O28" s="253">
        <v>0</v>
      </c>
      <c r="P28" s="253">
        <v>0</v>
      </c>
      <c r="Q28" s="253">
        <v>0</v>
      </c>
      <c r="R28" s="99"/>
      <c r="S28" s="261">
        <f t="shared" si="7"/>
        <v>0</v>
      </c>
      <c r="T28" s="299">
        <f t="shared" si="8"/>
        <v>0</v>
      </c>
      <c r="U28" s="299">
        <f t="shared" si="3"/>
        <v>0</v>
      </c>
      <c r="V28" s="253">
        <v>0</v>
      </c>
      <c r="W28" s="92"/>
      <c r="X28" s="263">
        <f t="shared" si="9"/>
        <v>0</v>
      </c>
      <c r="Y28" s="263">
        <v>0</v>
      </c>
      <c r="Z28" s="263">
        <v>0</v>
      </c>
      <c r="AA28" s="42">
        <v>-1633</v>
      </c>
      <c r="AB28" s="42">
        <v>0</v>
      </c>
      <c r="AC28" s="42">
        <v>0</v>
      </c>
    </row>
    <row r="29" spans="1:29" ht="12.75" customHeight="1">
      <c r="A29" s="7"/>
      <c r="B29" s="7" t="s">
        <v>150</v>
      </c>
      <c r="C29" s="37">
        <f t="shared" si="5"/>
        <v>-4172</v>
      </c>
      <c r="D29" s="29" t="s">
        <v>54</v>
      </c>
      <c r="E29" s="40"/>
      <c r="F29" s="261">
        <v>0</v>
      </c>
      <c r="G29" s="299">
        <v>6700</v>
      </c>
      <c r="H29" s="299">
        <v>0</v>
      </c>
      <c r="I29" s="253">
        <v>0</v>
      </c>
      <c r="J29" s="252">
        <v>4172</v>
      </c>
      <c r="K29" s="252">
        <v>4226</v>
      </c>
      <c r="L29" s="252">
        <v>4399</v>
      </c>
      <c r="M29" s="253">
        <v>0</v>
      </c>
      <c r="N29" s="263">
        <v>0</v>
      </c>
      <c r="O29" s="253">
        <v>0</v>
      </c>
      <c r="P29" s="253">
        <v>0</v>
      </c>
      <c r="Q29" s="253">
        <v>0</v>
      </c>
      <c r="R29" s="99"/>
      <c r="S29" s="261">
        <f t="shared" si="7"/>
        <v>6700</v>
      </c>
      <c r="T29" s="299">
        <f t="shared" si="8"/>
        <v>12797</v>
      </c>
      <c r="U29" s="299">
        <f t="shared" si="3"/>
        <v>-6097</v>
      </c>
      <c r="V29" s="421">
        <f t="shared" si="4"/>
        <v>-0.47643979057591623</v>
      </c>
      <c r="W29" s="92"/>
      <c r="X29" s="263">
        <f t="shared" si="9"/>
        <v>6700</v>
      </c>
      <c r="Y29" s="262">
        <v>12797</v>
      </c>
      <c r="Z29" s="263">
        <v>0</v>
      </c>
      <c r="AA29" s="42">
        <v>0</v>
      </c>
      <c r="AB29" s="42">
        <v>0</v>
      </c>
      <c r="AC29" s="42">
        <v>0</v>
      </c>
    </row>
    <row r="30" spans="1:29" ht="12.75" customHeight="1">
      <c r="A30" s="7"/>
      <c r="B30" s="7" t="s">
        <v>281</v>
      </c>
      <c r="C30" s="37">
        <f t="shared" si="5"/>
        <v>-54200</v>
      </c>
      <c r="D30" s="29" t="s">
        <v>54</v>
      </c>
      <c r="E30" s="40"/>
      <c r="F30" s="261">
        <v>0</v>
      </c>
      <c r="G30" s="299">
        <v>5347</v>
      </c>
      <c r="H30" s="299">
        <v>0</v>
      </c>
      <c r="I30" s="253">
        <v>0</v>
      </c>
      <c r="J30" s="252">
        <v>54200</v>
      </c>
      <c r="K30" s="252">
        <v>0</v>
      </c>
      <c r="L30" s="252">
        <v>0</v>
      </c>
      <c r="M30" s="253">
        <v>0</v>
      </c>
      <c r="N30" s="263">
        <v>0</v>
      </c>
      <c r="O30" s="253">
        <v>0</v>
      </c>
      <c r="P30" s="253">
        <v>0</v>
      </c>
      <c r="Q30" s="253">
        <v>0</v>
      </c>
      <c r="R30" s="99"/>
      <c r="S30" s="261">
        <f t="shared" si="7"/>
        <v>5347</v>
      </c>
      <c r="T30" s="299">
        <f t="shared" si="8"/>
        <v>54200</v>
      </c>
      <c r="U30" s="299">
        <f t="shared" si="3"/>
        <v>-48853</v>
      </c>
      <c r="V30" s="421">
        <f t="shared" si="4"/>
        <v>-0.9013468634686347</v>
      </c>
      <c r="W30" s="92"/>
      <c r="X30" s="263">
        <f t="shared" si="9"/>
        <v>5347</v>
      </c>
      <c r="Y30" s="262">
        <v>54200</v>
      </c>
      <c r="Z30" s="263">
        <v>0</v>
      </c>
      <c r="AA30" s="42">
        <v>0</v>
      </c>
      <c r="AB30" s="42">
        <v>0</v>
      </c>
      <c r="AC30" s="42">
        <v>0</v>
      </c>
    </row>
    <row r="31" spans="1:29" ht="12.75" customHeight="1">
      <c r="A31" s="7"/>
      <c r="B31" s="7" t="s">
        <v>279</v>
      </c>
      <c r="C31" s="37">
        <f t="shared" si="5"/>
        <v>0</v>
      </c>
      <c r="D31" s="29">
        <v>0</v>
      </c>
      <c r="E31" s="40"/>
      <c r="F31" s="261">
        <v>0</v>
      </c>
      <c r="G31" s="299">
        <v>31524</v>
      </c>
      <c r="H31" s="299">
        <v>0</v>
      </c>
      <c r="I31" s="253">
        <v>0</v>
      </c>
      <c r="J31" s="252">
        <v>0</v>
      </c>
      <c r="K31" s="252">
        <v>0</v>
      </c>
      <c r="L31" s="252">
        <v>0</v>
      </c>
      <c r="M31" s="253">
        <v>0</v>
      </c>
      <c r="N31" s="263">
        <v>0</v>
      </c>
      <c r="O31" s="253">
        <v>0</v>
      </c>
      <c r="P31" s="253"/>
      <c r="Q31" s="253"/>
      <c r="R31" s="99"/>
      <c r="S31" s="261">
        <f t="shared" si="7"/>
        <v>31524</v>
      </c>
      <c r="T31" s="299">
        <f t="shared" si="8"/>
        <v>0</v>
      </c>
      <c r="U31" s="299">
        <f t="shared" si="3"/>
        <v>31524</v>
      </c>
      <c r="V31" s="303" t="s">
        <v>54</v>
      </c>
      <c r="W31" s="92"/>
      <c r="X31" s="263">
        <f t="shared" si="9"/>
        <v>31524</v>
      </c>
      <c r="Y31" s="261">
        <v>0</v>
      </c>
      <c r="Z31" s="263">
        <v>0</v>
      </c>
      <c r="AA31" s="42">
        <v>0</v>
      </c>
      <c r="AB31" s="42">
        <v>0</v>
      </c>
      <c r="AC31" s="42">
        <v>0</v>
      </c>
    </row>
    <row r="32" spans="1:29" ht="12.75" customHeight="1">
      <c r="A32" s="8"/>
      <c r="B32" s="7" t="s">
        <v>290</v>
      </c>
      <c r="C32" s="37">
        <f t="shared" si="5"/>
        <v>-3858</v>
      </c>
      <c r="D32" s="29">
        <f t="shared" si="6"/>
        <v>-0.9645</v>
      </c>
      <c r="E32" s="40"/>
      <c r="F32" s="575">
        <v>142</v>
      </c>
      <c r="G32" s="529">
        <v>7520</v>
      </c>
      <c r="H32" s="299">
        <v>0</v>
      </c>
      <c r="I32" s="253">
        <v>0</v>
      </c>
      <c r="J32" s="252">
        <v>4000</v>
      </c>
      <c r="K32" s="252">
        <v>0</v>
      </c>
      <c r="L32" s="252">
        <v>0</v>
      </c>
      <c r="M32" s="253">
        <v>0</v>
      </c>
      <c r="N32" s="263">
        <v>0</v>
      </c>
      <c r="O32" s="253">
        <v>0</v>
      </c>
      <c r="P32" s="253"/>
      <c r="Q32" s="253"/>
      <c r="R32" s="99"/>
      <c r="S32" s="261">
        <f t="shared" si="7"/>
        <v>7662</v>
      </c>
      <c r="T32" s="299">
        <f t="shared" si="8"/>
        <v>4000</v>
      </c>
      <c r="U32" s="299">
        <f t="shared" si="3"/>
        <v>3662</v>
      </c>
      <c r="V32" s="421">
        <f t="shared" si="4"/>
        <v>0.9155</v>
      </c>
      <c r="W32" s="92"/>
      <c r="X32" s="263">
        <f t="shared" si="9"/>
        <v>7662</v>
      </c>
      <c r="Y32" s="263">
        <v>4000</v>
      </c>
      <c r="Z32" s="263">
        <v>0</v>
      </c>
      <c r="AA32" s="42">
        <v>0</v>
      </c>
      <c r="AB32" s="42">
        <v>0</v>
      </c>
      <c r="AC32" s="42">
        <v>0</v>
      </c>
    </row>
    <row r="33" spans="1:29" ht="12.75" customHeight="1">
      <c r="A33" s="8"/>
      <c r="B33" s="7"/>
      <c r="C33" s="264">
        <f t="shared" si="5"/>
        <v>-93693</v>
      </c>
      <c r="D33" s="255">
        <f t="shared" si="6"/>
        <v>-0.48294365064637845</v>
      </c>
      <c r="E33" s="40"/>
      <c r="F33" s="264">
        <f>SUM(F19:F32)</f>
        <v>100311</v>
      </c>
      <c r="G33" s="306">
        <v>159625</v>
      </c>
      <c r="H33" s="306">
        <v>115805</v>
      </c>
      <c r="I33" s="307">
        <v>149179</v>
      </c>
      <c r="J33" s="258">
        <v>194004</v>
      </c>
      <c r="K33" s="258">
        <v>159043</v>
      </c>
      <c r="L33" s="258">
        <v>139741</v>
      </c>
      <c r="M33" s="259">
        <v>187220</v>
      </c>
      <c r="N33" s="565">
        <v>176307</v>
      </c>
      <c r="O33" s="259">
        <v>144677</v>
      </c>
      <c r="P33" s="259">
        <v>130781</v>
      </c>
      <c r="Q33" s="259">
        <v>166952</v>
      </c>
      <c r="R33" s="99"/>
      <c r="S33" s="257">
        <f t="shared" si="7"/>
        <v>524920</v>
      </c>
      <c r="T33" s="258">
        <f t="shared" si="8"/>
        <v>680008</v>
      </c>
      <c r="U33" s="258">
        <f t="shared" si="3"/>
        <v>-155088</v>
      </c>
      <c r="V33" s="427">
        <f t="shared" si="4"/>
        <v>-0.2280679050834696</v>
      </c>
      <c r="W33" s="92"/>
      <c r="X33" s="256">
        <f>SUM(X19:X32)</f>
        <v>524920</v>
      </c>
      <c r="Y33" s="256">
        <v>680008</v>
      </c>
      <c r="Z33" s="256">
        <v>618717</v>
      </c>
      <c r="AA33" s="369">
        <v>464385</v>
      </c>
      <c r="AB33" s="369">
        <v>360022</v>
      </c>
      <c r="AC33" s="369">
        <v>339600</v>
      </c>
    </row>
    <row r="34" spans="1:29" ht="12.75" customHeight="1">
      <c r="A34" s="8"/>
      <c r="B34" s="7"/>
      <c r="C34" s="260"/>
      <c r="D34" s="29"/>
      <c r="E34" s="40"/>
      <c r="F34" s="575"/>
      <c r="G34" s="529"/>
      <c r="H34" s="529"/>
      <c r="I34" s="302"/>
      <c r="J34" s="252"/>
      <c r="K34" s="252"/>
      <c r="L34" s="252"/>
      <c r="M34" s="253"/>
      <c r="N34" s="263"/>
      <c r="O34" s="253"/>
      <c r="P34" s="253"/>
      <c r="Q34" s="253"/>
      <c r="R34" s="99"/>
      <c r="S34" s="261"/>
      <c r="T34" s="299"/>
      <c r="U34" s="299"/>
      <c r="V34" s="421"/>
      <c r="W34" s="92"/>
      <c r="X34" s="246"/>
      <c r="Y34" s="246"/>
      <c r="Z34" s="246"/>
      <c r="AA34" s="42"/>
      <c r="AB34" s="42"/>
      <c r="AC34" s="42"/>
    </row>
    <row r="35" spans="1:29" s="106" customFormat="1" ht="12.75" customHeight="1">
      <c r="A35" s="228" t="s">
        <v>151</v>
      </c>
      <c r="B35" s="227"/>
      <c r="C35" s="260">
        <f>F35-J35</f>
        <v>57243</v>
      </c>
      <c r="D35" s="29">
        <f>C35/J35</f>
        <v>-1.1322243759642392</v>
      </c>
      <c r="E35" s="40"/>
      <c r="F35" s="260">
        <f>F17-F33</f>
        <v>6685</v>
      </c>
      <c r="G35" s="298">
        <v>-72437</v>
      </c>
      <c r="H35" s="298">
        <v>-4976</v>
      </c>
      <c r="I35" s="302">
        <v>23529</v>
      </c>
      <c r="J35" s="252">
        <v>-50558</v>
      </c>
      <c r="K35" s="252">
        <v>24311</v>
      </c>
      <c r="L35" s="252">
        <v>19128</v>
      </c>
      <c r="M35" s="253">
        <v>58650</v>
      </c>
      <c r="N35" s="263">
        <v>40136</v>
      </c>
      <c r="O35" s="253">
        <v>33636</v>
      </c>
      <c r="P35" s="253">
        <v>25250</v>
      </c>
      <c r="Q35" s="253">
        <v>39175</v>
      </c>
      <c r="R35" s="99"/>
      <c r="S35" s="261">
        <f>X35</f>
        <v>-47199</v>
      </c>
      <c r="T35" s="299">
        <f>Y35</f>
        <v>51531</v>
      </c>
      <c r="U35" s="299">
        <f t="shared" si="3"/>
        <v>-98730</v>
      </c>
      <c r="V35" s="421">
        <f t="shared" si="4"/>
        <v>-1.9159340979216395</v>
      </c>
      <c r="W35" s="92"/>
      <c r="X35" s="246">
        <f>X17-X33</f>
        <v>-47199</v>
      </c>
      <c r="Y35" s="246">
        <v>51531</v>
      </c>
      <c r="Z35" s="246">
        <v>138197</v>
      </c>
      <c r="AA35" s="42">
        <v>119030</v>
      </c>
      <c r="AB35" s="42">
        <v>72756</v>
      </c>
      <c r="AC35" s="42">
        <v>62557</v>
      </c>
    </row>
    <row r="36" spans="1:29" ht="12.75" customHeight="1">
      <c r="A36" s="8"/>
      <c r="B36" s="7"/>
      <c r="C36" s="260"/>
      <c r="D36" s="29"/>
      <c r="E36" s="40"/>
      <c r="F36" s="575"/>
      <c r="G36" s="529"/>
      <c r="H36" s="529"/>
      <c r="I36" s="463"/>
      <c r="J36" s="252"/>
      <c r="K36" s="252"/>
      <c r="L36" s="252"/>
      <c r="M36" s="253"/>
      <c r="N36" s="263"/>
      <c r="O36" s="253"/>
      <c r="P36" s="253"/>
      <c r="Q36" s="253"/>
      <c r="R36" s="99"/>
      <c r="S36" s="261"/>
      <c r="T36" s="299"/>
      <c r="U36" s="299"/>
      <c r="V36" s="421"/>
      <c r="W36" s="92"/>
      <c r="X36" s="265"/>
      <c r="Y36" s="265"/>
      <c r="Z36" s="246"/>
      <c r="AA36" s="42"/>
      <c r="AB36" s="42"/>
      <c r="AC36" s="42"/>
    </row>
    <row r="37" spans="1:29" ht="12.75" customHeight="1">
      <c r="A37" s="92"/>
      <c r="B37" s="92" t="s">
        <v>6</v>
      </c>
      <c r="C37" s="260">
        <f>F37-J37</f>
        <v>18423</v>
      </c>
      <c r="D37" s="29">
        <f>C37/J37</f>
        <v>-1.195988055050636</v>
      </c>
      <c r="E37" s="40"/>
      <c r="F37" s="575">
        <v>3019</v>
      </c>
      <c r="G37" s="529">
        <v>-10059</v>
      </c>
      <c r="H37" s="529">
        <v>422</v>
      </c>
      <c r="I37" s="463">
        <v>7070</v>
      </c>
      <c r="J37" s="252">
        <v>-15404</v>
      </c>
      <c r="K37" s="252">
        <v>9263</v>
      </c>
      <c r="L37" s="252">
        <v>6717</v>
      </c>
      <c r="M37" s="253">
        <v>19621</v>
      </c>
      <c r="N37" s="263">
        <v>14120</v>
      </c>
      <c r="O37" s="253">
        <v>9944</v>
      </c>
      <c r="P37" s="253">
        <v>7444</v>
      </c>
      <c r="Q37" s="253">
        <v>13233</v>
      </c>
      <c r="R37" s="99"/>
      <c r="S37" s="261">
        <f>X37</f>
        <v>452</v>
      </c>
      <c r="T37" s="299">
        <f>Y37</f>
        <v>20197</v>
      </c>
      <c r="U37" s="299">
        <f t="shared" si="3"/>
        <v>-19745</v>
      </c>
      <c r="V37" s="421">
        <f t="shared" si="4"/>
        <v>-0.9776204386790117</v>
      </c>
      <c r="W37" s="92"/>
      <c r="X37" s="265">
        <f>F37+G37+H37+I37</f>
        <v>452</v>
      </c>
      <c r="Y37" s="265">
        <v>20197</v>
      </c>
      <c r="Z37" s="246">
        <v>44741</v>
      </c>
      <c r="AA37" s="42">
        <v>37880</v>
      </c>
      <c r="AB37" s="42">
        <v>24177</v>
      </c>
      <c r="AC37" s="42">
        <v>22128</v>
      </c>
    </row>
    <row r="38" spans="1:29" ht="12.75" customHeight="1">
      <c r="A38" s="92"/>
      <c r="B38" s="92"/>
      <c r="C38" s="260"/>
      <c r="D38" s="29"/>
      <c r="E38" s="40"/>
      <c r="F38" s="575"/>
      <c r="G38" s="529"/>
      <c r="H38" s="529"/>
      <c r="I38" s="302"/>
      <c r="J38" s="252"/>
      <c r="K38" s="252"/>
      <c r="L38" s="252"/>
      <c r="M38" s="253"/>
      <c r="N38" s="566"/>
      <c r="O38" s="536"/>
      <c r="P38" s="253"/>
      <c r="Q38" s="253"/>
      <c r="R38" s="99"/>
      <c r="S38" s="261"/>
      <c r="T38" s="299"/>
      <c r="U38" s="299"/>
      <c r="V38" s="421"/>
      <c r="W38" s="92"/>
      <c r="X38" s="246"/>
      <c r="Y38" s="246"/>
      <c r="Z38" s="246"/>
      <c r="AA38" s="245"/>
      <c r="AB38" s="245"/>
      <c r="AC38" s="245"/>
    </row>
    <row r="39" spans="1:29" ht="12.75" customHeight="1" thickBot="1">
      <c r="A39" s="228" t="s">
        <v>152</v>
      </c>
      <c r="B39" s="92"/>
      <c r="C39" s="267">
        <f>F39-J39</f>
        <v>38820</v>
      </c>
      <c r="D39" s="268">
        <f>C39/J39</f>
        <v>-1.104284007509814</v>
      </c>
      <c r="E39" s="40"/>
      <c r="F39" s="267">
        <f>F35-F37</f>
        <v>3666</v>
      </c>
      <c r="G39" s="308">
        <v>-62378</v>
      </c>
      <c r="H39" s="308">
        <v>-5398</v>
      </c>
      <c r="I39" s="309">
        <v>16459</v>
      </c>
      <c r="J39" s="270">
        <v>-35154</v>
      </c>
      <c r="K39" s="270">
        <v>15048</v>
      </c>
      <c r="L39" s="270">
        <v>12411</v>
      </c>
      <c r="M39" s="271">
        <v>39029</v>
      </c>
      <c r="N39" s="567">
        <v>26016</v>
      </c>
      <c r="O39" s="271">
        <v>23692</v>
      </c>
      <c r="P39" s="271">
        <v>17806</v>
      </c>
      <c r="Q39" s="271">
        <v>25942</v>
      </c>
      <c r="R39" s="99"/>
      <c r="S39" s="428">
        <f>X39</f>
        <v>-47651</v>
      </c>
      <c r="T39" s="270">
        <f>Y39</f>
        <v>31334</v>
      </c>
      <c r="U39" s="270">
        <f t="shared" si="3"/>
        <v>-78985</v>
      </c>
      <c r="V39" s="429">
        <f t="shared" si="4"/>
        <v>-2.5207442394842663</v>
      </c>
      <c r="W39" s="92"/>
      <c r="X39" s="269">
        <f>X35-X37</f>
        <v>-47651</v>
      </c>
      <c r="Y39" s="269">
        <v>31334</v>
      </c>
      <c r="Z39" s="269">
        <v>93456</v>
      </c>
      <c r="AA39" s="370">
        <v>81150</v>
      </c>
      <c r="AB39" s="370">
        <v>48579</v>
      </c>
      <c r="AC39" s="370">
        <v>40429</v>
      </c>
    </row>
    <row r="40" spans="1:29" ht="12.75" customHeight="1" thickTop="1">
      <c r="A40" s="229"/>
      <c r="B40" s="229"/>
      <c r="C40" s="30"/>
      <c r="D40" s="40"/>
      <c r="E40" s="40"/>
      <c r="F40" s="40"/>
      <c r="G40" s="40"/>
      <c r="H40" s="40"/>
      <c r="I40" s="233"/>
      <c r="J40" s="272"/>
      <c r="K40" s="272"/>
      <c r="L40" s="272"/>
      <c r="M40" s="272"/>
      <c r="N40" s="272"/>
      <c r="O40" s="272"/>
      <c r="P40" s="272"/>
      <c r="Q40" s="272"/>
      <c r="R40" s="233"/>
      <c r="S40" s="400"/>
      <c r="T40" s="400"/>
      <c r="U40" s="30"/>
      <c r="V40" s="40"/>
      <c r="W40" s="233"/>
      <c r="X40" s="233"/>
      <c r="Y40" s="30"/>
      <c r="Z40" s="30"/>
      <c r="AA40" s="371"/>
      <c r="AB40" s="371"/>
      <c r="AC40" s="371"/>
    </row>
    <row r="41" spans="1:29" ht="12.75" customHeight="1">
      <c r="A41" s="229"/>
      <c r="B41" s="229"/>
      <c r="C41" s="30"/>
      <c r="D41" s="40"/>
      <c r="E41" s="40"/>
      <c r="F41" s="40"/>
      <c r="G41" s="40"/>
      <c r="H41" s="40"/>
      <c r="I41" s="233"/>
      <c r="J41" s="272"/>
      <c r="K41" s="272"/>
      <c r="L41" s="272"/>
      <c r="M41" s="272"/>
      <c r="N41" s="272"/>
      <c r="O41" s="272"/>
      <c r="P41" s="272"/>
      <c r="Q41" s="272"/>
      <c r="R41" s="233"/>
      <c r="S41" s="400"/>
      <c r="T41" s="400"/>
      <c r="U41" s="30"/>
      <c r="V41" s="40"/>
      <c r="W41" s="233"/>
      <c r="X41" s="233"/>
      <c r="Y41" s="30"/>
      <c r="Z41" s="30"/>
      <c r="AA41" s="371"/>
      <c r="AB41" s="371"/>
      <c r="AC41" s="371"/>
    </row>
    <row r="42" spans="1:29" ht="12.75" customHeight="1">
      <c r="A42" s="230" t="s">
        <v>153</v>
      </c>
      <c r="B42" s="231"/>
      <c r="C42" s="247">
        <f>(F42-J42)*100</f>
        <v>-2.239549142024</v>
      </c>
      <c r="D42" s="40"/>
      <c r="E42" s="40"/>
      <c r="F42" s="497">
        <f>F19/F17</f>
        <v>0.42060450857976</v>
      </c>
      <c r="G42" s="497">
        <v>0.49661650685874204</v>
      </c>
      <c r="H42" s="497">
        <v>0.45996084057421793</v>
      </c>
      <c r="I42" s="273">
        <v>0.47899923570419434</v>
      </c>
      <c r="J42" s="273">
        <v>0.443</v>
      </c>
      <c r="K42" s="273">
        <v>0.495</v>
      </c>
      <c r="L42" s="273">
        <v>0.45</v>
      </c>
      <c r="M42" s="273">
        <v>0.494</v>
      </c>
      <c r="N42" s="273">
        <v>0.524</v>
      </c>
      <c r="O42" s="273">
        <v>0.502</v>
      </c>
      <c r="P42" s="273">
        <v>0.481</v>
      </c>
      <c r="Q42" s="273">
        <v>0.509</v>
      </c>
      <c r="R42" s="233"/>
      <c r="S42" s="273">
        <f aca="true" t="shared" si="10" ref="S42:S52">X42</f>
        <v>0.4647189468329841</v>
      </c>
      <c r="T42" s="273">
        <f aca="true" t="shared" si="11" ref="T42:T52">Y42</f>
        <v>0.474</v>
      </c>
      <c r="U42" s="247">
        <f aca="true" t="shared" si="12" ref="U42:U48">(S42-T42)*100</f>
        <v>-0.9281053167015885</v>
      </c>
      <c r="V42" s="40"/>
      <c r="W42" s="233"/>
      <c r="X42" s="34">
        <f>X19/X17</f>
        <v>0.4647189468329841</v>
      </c>
      <c r="Y42" s="34">
        <v>0.474</v>
      </c>
      <c r="Z42" s="274">
        <v>0.506</v>
      </c>
      <c r="AA42" s="372">
        <v>0.513</v>
      </c>
      <c r="AB42" s="372">
        <v>0.509</v>
      </c>
      <c r="AC42" s="372">
        <v>0.544</v>
      </c>
    </row>
    <row r="43" spans="1:29" ht="12.75" customHeight="1">
      <c r="A43" s="230" t="s">
        <v>154</v>
      </c>
      <c r="B43" s="231"/>
      <c r="C43" s="247">
        <f aca="true" t="shared" si="13" ref="C43:C48">(F43-J43)*100</f>
        <v>0.9403902949642884</v>
      </c>
      <c r="D43" s="40"/>
      <c r="E43" s="40"/>
      <c r="F43" s="497">
        <f>(F19+F20)/F17</f>
        <v>0.5544039029496429</v>
      </c>
      <c r="G43" s="497">
        <v>0.6436206817451943</v>
      </c>
      <c r="H43" s="497">
        <v>0.5880410361908887</v>
      </c>
      <c r="I43" s="273">
        <v>0.5684160548440141</v>
      </c>
      <c r="J43" s="273">
        <v>0.545</v>
      </c>
      <c r="K43" s="273">
        <v>0.564</v>
      </c>
      <c r="L43" s="273">
        <v>0.529</v>
      </c>
      <c r="M43" s="273">
        <v>0.552</v>
      </c>
      <c r="N43" s="273">
        <v>0.584</v>
      </c>
      <c r="O43" s="273">
        <v>0.567</v>
      </c>
      <c r="P43" s="273">
        <v>0.549</v>
      </c>
      <c r="Q43" s="273">
        <v>0.57</v>
      </c>
      <c r="R43" s="233"/>
      <c r="S43" s="273">
        <f t="shared" si="10"/>
        <v>0.5835560923635343</v>
      </c>
      <c r="T43" s="273">
        <f t="shared" si="11"/>
        <v>0.549</v>
      </c>
      <c r="U43" s="247">
        <f t="shared" si="12"/>
        <v>3.4556092363534296</v>
      </c>
      <c r="V43" s="40"/>
      <c r="W43" s="233"/>
      <c r="X43" s="34">
        <f>(X19+X20)/X17</f>
        <v>0.5835560923635343</v>
      </c>
      <c r="Y43" s="34">
        <v>0.549</v>
      </c>
      <c r="Z43" s="274">
        <v>0.569</v>
      </c>
      <c r="AA43" s="372">
        <v>0.585</v>
      </c>
      <c r="AB43" s="372">
        <v>0.615</v>
      </c>
      <c r="AC43" s="372">
        <v>0.636</v>
      </c>
    </row>
    <row r="44" spans="1:29" ht="12.75" customHeight="1">
      <c r="A44" s="230" t="s">
        <v>155</v>
      </c>
      <c r="B44" s="231"/>
      <c r="C44" s="247">
        <f t="shared" si="13"/>
        <v>-42.388287412613565</v>
      </c>
      <c r="D44" s="40"/>
      <c r="E44" s="40"/>
      <c r="F44" s="497">
        <f>(F21+F22+F23+F24+F25+F26+F27+F28+F29+F30+F31+F32)/F17</f>
        <v>0.38311712587386443</v>
      </c>
      <c r="G44" s="497">
        <v>1.1871931917236318</v>
      </c>
      <c r="H44" s="497">
        <v>0.4568569598209855</v>
      </c>
      <c r="I44" s="273">
        <v>0.2963482178011441</v>
      </c>
      <c r="J44" s="273">
        <v>0.807</v>
      </c>
      <c r="K44" s="273">
        <v>0.30300000000000005</v>
      </c>
      <c r="L44" s="273">
        <v>0.351</v>
      </c>
      <c r="M44" s="273">
        <v>0.20899999999999996</v>
      </c>
      <c r="N44" s="273">
        <v>0.23099999999999998</v>
      </c>
      <c r="O44" s="273">
        <v>0.2440000000000001</v>
      </c>
      <c r="P44" s="273">
        <v>0.2889999999999999</v>
      </c>
      <c r="Q44" s="273">
        <v>0.24</v>
      </c>
      <c r="R44" s="233"/>
      <c r="S44" s="273">
        <f t="shared" si="10"/>
        <v>0.5152442534450025</v>
      </c>
      <c r="T44" s="273">
        <f t="shared" si="11"/>
        <v>0.381</v>
      </c>
      <c r="U44" s="247">
        <f t="shared" si="12"/>
        <v>13.424425344500246</v>
      </c>
      <c r="V44" s="40"/>
      <c r="W44" s="233"/>
      <c r="X44" s="34">
        <f>(X21+X22+X23+X24+X25+X26+X27+X28+X29+X30+X31+X32)/X17</f>
        <v>0.5152442534450025</v>
      </c>
      <c r="Y44" s="34">
        <v>0.381</v>
      </c>
      <c r="Z44" s="274">
        <v>0.248</v>
      </c>
      <c r="AA44" s="372">
        <v>0.21100000000000008</v>
      </c>
      <c r="AB44" s="372">
        <v>0.21699999999999997</v>
      </c>
      <c r="AC44" s="372">
        <v>0.20799999999999996</v>
      </c>
    </row>
    <row r="45" spans="1:29" ht="12.75" customHeight="1">
      <c r="A45" s="230" t="s">
        <v>156</v>
      </c>
      <c r="B45" s="230"/>
      <c r="C45" s="247">
        <f t="shared" si="13"/>
        <v>-41.44789711764927</v>
      </c>
      <c r="D45" s="40"/>
      <c r="E45" s="40"/>
      <c r="F45" s="497">
        <f>F33/F17</f>
        <v>0.9375210288235074</v>
      </c>
      <c r="G45" s="497">
        <v>1.830813873468826</v>
      </c>
      <c r="H45" s="497">
        <v>1.044897996011874</v>
      </c>
      <c r="I45" s="273">
        <v>0.8637642726451583</v>
      </c>
      <c r="J45" s="273">
        <v>1.352</v>
      </c>
      <c r="K45" s="273">
        <v>0.867</v>
      </c>
      <c r="L45" s="273">
        <v>0.88</v>
      </c>
      <c r="M45" s="273">
        <v>0.761</v>
      </c>
      <c r="N45" s="273">
        <v>0.815</v>
      </c>
      <c r="O45" s="273">
        <v>0.811</v>
      </c>
      <c r="P45" s="273">
        <v>0.838</v>
      </c>
      <c r="Q45" s="273">
        <v>0.81</v>
      </c>
      <c r="R45" s="233"/>
      <c r="S45" s="273">
        <f t="shared" si="10"/>
        <v>1.0988003458085367</v>
      </c>
      <c r="T45" s="273">
        <f t="shared" si="11"/>
        <v>0.93</v>
      </c>
      <c r="U45" s="247">
        <f t="shared" si="12"/>
        <v>16.880034580853664</v>
      </c>
      <c r="V45" s="40"/>
      <c r="W45" s="233"/>
      <c r="X45" s="34">
        <f>X33/X17</f>
        <v>1.0988003458085367</v>
      </c>
      <c r="Y45" s="34">
        <v>0.93</v>
      </c>
      <c r="Z45" s="274">
        <v>0.817</v>
      </c>
      <c r="AA45" s="372">
        <v>0.796</v>
      </c>
      <c r="AB45" s="372">
        <v>0.832</v>
      </c>
      <c r="AC45" s="372">
        <v>0.844</v>
      </c>
    </row>
    <row r="46" spans="1:29" ht="12.75" customHeight="1">
      <c r="A46" s="230" t="s">
        <v>157</v>
      </c>
      <c r="B46" s="230"/>
      <c r="C46" s="247">
        <f t="shared" si="13"/>
        <v>41.44789711764927</v>
      </c>
      <c r="D46" s="40"/>
      <c r="E46" s="40"/>
      <c r="F46" s="273">
        <f>F35/F17</f>
        <v>0.06247897117649258</v>
      </c>
      <c r="G46" s="273">
        <v>-0.830813873468826</v>
      </c>
      <c r="H46" s="273">
        <v>-0.04489799601187415</v>
      </c>
      <c r="I46" s="273">
        <v>0.13623572735484168</v>
      </c>
      <c r="J46" s="273">
        <v>-0.3520000000000001</v>
      </c>
      <c r="K46" s="273">
        <v>0.133</v>
      </c>
      <c r="L46" s="273">
        <v>0.12</v>
      </c>
      <c r="M46" s="273">
        <v>0.239</v>
      </c>
      <c r="N46" s="273">
        <v>0.185</v>
      </c>
      <c r="O46" s="273">
        <v>0.18899999999999995</v>
      </c>
      <c r="P46" s="273">
        <v>0.16200000000000003</v>
      </c>
      <c r="Q46" s="273">
        <v>0.19</v>
      </c>
      <c r="R46" s="233"/>
      <c r="S46" s="273">
        <f t="shared" si="10"/>
        <v>-0.09880034580853678</v>
      </c>
      <c r="T46" s="273">
        <f t="shared" si="11"/>
        <v>0.06999999999999995</v>
      </c>
      <c r="U46" s="247">
        <f t="shared" si="12"/>
        <v>-16.88003458085367</v>
      </c>
      <c r="V46" s="40"/>
      <c r="W46" s="233"/>
      <c r="X46" s="34">
        <f>X35/X17</f>
        <v>-0.09880034580853678</v>
      </c>
      <c r="Y46" s="34">
        <v>0.06999999999999995</v>
      </c>
      <c r="Z46" s="274">
        <v>0.18300000000000005</v>
      </c>
      <c r="AA46" s="372">
        <v>0.20399999999999996</v>
      </c>
      <c r="AB46" s="372">
        <v>0.16800000000000004</v>
      </c>
      <c r="AC46" s="372">
        <v>0.15600000000000003</v>
      </c>
    </row>
    <row r="47" spans="1:29" ht="12.75" customHeight="1">
      <c r="A47" s="231" t="s">
        <v>158</v>
      </c>
      <c r="B47" s="231"/>
      <c r="C47" s="247">
        <f t="shared" si="13"/>
        <v>14.692830406086177</v>
      </c>
      <c r="D47" s="40"/>
      <c r="E47" s="40"/>
      <c r="F47" s="273">
        <f>F37/F35</f>
        <v>0.45160807778608825</v>
      </c>
      <c r="G47" s="273">
        <v>0.13886549691456024</v>
      </c>
      <c r="H47" s="273">
        <v>-0.08480707395498392</v>
      </c>
      <c r="I47" s="273">
        <v>0.3004802584045221</v>
      </c>
      <c r="J47" s="273">
        <v>0.3046797737252265</v>
      </c>
      <c r="K47" s="273">
        <v>0.381</v>
      </c>
      <c r="L47" s="273">
        <v>0.351</v>
      </c>
      <c r="M47" s="273">
        <v>0.335</v>
      </c>
      <c r="N47" s="273">
        <v>0.3518038668527008</v>
      </c>
      <c r="O47" s="273">
        <v>0.296</v>
      </c>
      <c r="P47" s="273">
        <v>0.295</v>
      </c>
      <c r="Q47" s="273">
        <v>0.338</v>
      </c>
      <c r="R47" s="233"/>
      <c r="S47" s="273">
        <f t="shared" si="10"/>
        <v>-0.009576474077840633</v>
      </c>
      <c r="T47" s="273">
        <f t="shared" si="11"/>
        <v>0.39193883293551457</v>
      </c>
      <c r="U47" s="247">
        <f>(S47-T47)*100-0.01</f>
        <v>-40.161530701335515</v>
      </c>
      <c r="V47" s="40"/>
      <c r="W47" s="233"/>
      <c r="X47" s="34">
        <f>X37/X35</f>
        <v>-0.009576474077840633</v>
      </c>
      <c r="Y47" s="34">
        <v>0.39193883293551457</v>
      </c>
      <c r="Z47" s="11">
        <v>0.324</v>
      </c>
      <c r="AA47" s="372">
        <v>0.318</v>
      </c>
      <c r="AB47" s="372">
        <v>0.332</v>
      </c>
      <c r="AC47" s="372">
        <v>0.354</v>
      </c>
    </row>
    <row r="48" spans="1:29" ht="12.75" customHeight="1">
      <c r="A48" s="231" t="s">
        <v>159</v>
      </c>
      <c r="B48" s="231"/>
      <c r="C48" s="247">
        <f t="shared" si="13"/>
        <v>27.926296310142433</v>
      </c>
      <c r="D48" s="40"/>
      <c r="E48" s="40"/>
      <c r="F48" s="273">
        <f>F39/F17</f>
        <v>0.034262963101424355</v>
      </c>
      <c r="G48" s="273">
        <v>-0.7154424920860669</v>
      </c>
      <c r="H48" s="273">
        <v>-0.048705663680083736</v>
      </c>
      <c r="I48" s="273">
        <v>0.09529958079533085</v>
      </c>
      <c r="J48" s="273">
        <v>-0.245</v>
      </c>
      <c r="K48" s="273">
        <v>0.082</v>
      </c>
      <c r="L48" s="273">
        <v>0.078</v>
      </c>
      <c r="M48" s="273">
        <v>0.159</v>
      </c>
      <c r="N48" s="273">
        <v>0.12</v>
      </c>
      <c r="O48" s="273">
        <v>0.133</v>
      </c>
      <c r="P48" s="273">
        <v>0.114</v>
      </c>
      <c r="Q48" s="273">
        <v>0.126</v>
      </c>
      <c r="R48" s="233"/>
      <c r="S48" s="273">
        <f t="shared" si="10"/>
        <v>-0.09974650475905393</v>
      </c>
      <c r="T48" s="273">
        <f t="shared" si="11"/>
        <v>0.043</v>
      </c>
      <c r="U48" s="247">
        <f t="shared" si="12"/>
        <v>-14.274650475905393</v>
      </c>
      <c r="V48" s="40"/>
      <c r="W48" s="233"/>
      <c r="X48" s="34">
        <f>X39/X17</f>
        <v>-0.09974650475905393</v>
      </c>
      <c r="Y48" s="34">
        <v>0.043</v>
      </c>
      <c r="Z48" s="11">
        <v>0.123</v>
      </c>
      <c r="AA48" s="372">
        <v>0.139</v>
      </c>
      <c r="AB48" s="372">
        <v>0.112</v>
      </c>
      <c r="AC48" s="372">
        <v>0.101</v>
      </c>
    </row>
    <row r="49" spans="1:29" ht="12.75" customHeight="1">
      <c r="A49" s="229"/>
      <c r="B49" s="229"/>
      <c r="C49" s="275"/>
      <c r="D49" s="40"/>
      <c r="E49" s="40"/>
      <c r="F49" s="40"/>
      <c r="G49" s="40"/>
      <c r="H49" s="40"/>
      <c r="I49" s="233"/>
      <c r="J49" s="276"/>
      <c r="K49" s="276"/>
      <c r="L49" s="276"/>
      <c r="M49" s="276"/>
      <c r="N49" s="276"/>
      <c r="O49" s="276"/>
      <c r="P49" s="276"/>
      <c r="Q49" s="276"/>
      <c r="R49" s="233"/>
      <c r="S49" s="400">
        <f t="shared" si="10"/>
        <v>0</v>
      </c>
      <c r="T49" s="400">
        <f t="shared" si="11"/>
        <v>0</v>
      </c>
      <c r="U49" s="30"/>
      <c r="V49" s="40"/>
      <c r="W49" s="233"/>
      <c r="X49" s="41"/>
      <c r="Y49" s="41"/>
      <c r="Z49" s="277"/>
      <c r="AA49" s="373"/>
      <c r="AB49" s="373"/>
      <c r="AC49" s="373"/>
    </row>
    <row r="50" spans="1:29" ht="12.75" customHeight="1">
      <c r="A50" s="92" t="s">
        <v>160</v>
      </c>
      <c r="B50" s="92"/>
      <c r="C50" s="39">
        <f>F50-J50</f>
        <v>0.8700000000000001</v>
      </c>
      <c r="D50" s="40">
        <f>C50/J50</f>
        <v>-1.0875000000000001</v>
      </c>
      <c r="E50" s="40"/>
      <c r="F50" s="518">
        <v>0.07</v>
      </c>
      <c r="G50" s="518">
        <v>-1.27</v>
      </c>
      <c r="H50" s="518">
        <v>-0.11</v>
      </c>
      <c r="I50" s="7">
        <v>0.35</v>
      </c>
      <c r="J50" s="272">
        <v>-0.8</v>
      </c>
      <c r="K50" s="272">
        <v>0.34</v>
      </c>
      <c r="L50" s="272">
        <v>0.28</v>
      </c>
      <c r="M50" s="272">
        <v>0.86</v>
      </c>
      <c r="N50" s="272">
        <v>0.57</v>
      </c>
      <c r="O50" s="272">
        <v>0.51</v>
      </c>
      <c r="P50" s="272">
        <v>0.39</v>
      </c>
      <c r="Q50" s="272">
        <v>0.57</v>
      </c>
      <c r="R50" s="233"/>
      <c r="S50" s="31">
        <f t="shared" si="10"/>
        <v>-0.97</v>
      </c>
      <c r="T50" s="31">
        <f t="shared" si="11"/>
        <v>0.7</v>
      </c>
      <c r="U50" s="39">
        <f t="shared" si="3"/>
        <v>-1.67</v>
      </c>
      <c r="V50" s="40">
        <f t="shared" si="4"/>
        <v>-2.3857142857142857</v>
      </c>
      <c r="W50" s="233"/>
      <c r="X50" s="31">
        <v>-0.97</v>
      </c>
      <c r="Y50" s="31">
        <v>0.7</v>
      </c>
      <c r="Z50" s="31">
        <v>2.03</v>
      </c>
      <c r="AA50" s="371">
        <v>1.82</v>
      </c>
      <c r="AB50" s="371">
        <v>1.17</v>
      </c>
      <c r="AC50" s="371">
        <v>1.43</v>
      </c>
    </row>
    <row r="51" spans="1:29" ht="12.75" customHeight="1">
      <c r="A51" s="92" t="s">
        <v>161</v>
      </c>
      <c r="B51" s="92"/>
      <c r="C51" s="39">
        <f>F51-J51</f>
        <v>0.8700000000000001</v>
      </c>
      <c r="D51" s="40">
        <f>C51/J51</f>
        <v>-1.0875000000000001</v>
      </c>
      <c r="E51" s="40"/>
      <c r="F51" s="518">
        <v>0.07</v>
      </c>
      <c r="G51" s="518">
        <v>-1.27</v>
      </c>
      <c r="H51" s="518">
        <v>-0.11</v>
      </c>
      <c r="I51" s="7">
        <v>0.31</v>
      </c>
      <c r="J51" s="272">
        <v>-0.8</v>
      </c>
      <c r="K51" s="272">
        <v>0.31</v>
      </c>
      <c r="L51" s="272">
        <v>0.26</v>
      </c>
      <c r="M51" s="272">
        <v>0.8</v>
      </c>
      <c r="N51" s="272">
        <v>0.54</v>
      </c>
      <c r="O51" s="272">
        <v>0.49</v>
      </c>
      <c r="P51" s="272">
        <v>0.37</v>
      </c>
      <c r="Q51" s="272">
        <v>0.54</v>
      </c>
      <c r="R51" s="233"/>
      <c r="S51" s="31">
        <f t="shared" si="10"/>
        <v>-0.97</v>
      </c>
      <c r="T51" s="31">
        <f t="shared" si="11"/>
        <v>0.64</v>
      </c>
      <c r="U51" s="39">
        <f t="shared" si="3"/>
        <v>-1.6099999999999999</v>
      </c>
      <c r="V51" s="40">
        <f t="shared" si="4"/>
        <v>-2.5156249999999996</v>
      </c>
      <c r="W51" s="233"/>
      <c r="X51" s="31">
        <v>-0.97</v>
      </c>
      <c r="Y51" s="31">
        <v>0.64</v>
      </c>
      <c r="Z51" s="278">
        <v>1.94</v>
      </c>
      <c r="AA51" s="371">
        <v>1.74</v>
      </c>
      <c r="AB51" s="371">
        <v>1.11</v>
      </c>
      <c r="AC51" s="371">
        <v>1.12</v>
      </c>
    </row>
    <row r="52" spans="1:29" ht="12.75" customHeight="1">
      <c r="A52" s="92" t="s">
        <v>162</v>
      </c>
      <c r="B52" s="92"/>
      <c r="C52" s="39">
        <f>F52-J52</f>
        <v>-0.7000000000000002</v>
      </c>
      <c r="D52" s="40">
        <f>C52/J52</f>
        <v>-0.09708737864077673</v>
      </c>
      <c r="E52" s="40"/>
      <c r="F52" s="518">
        <v>6.51</v>
      </c>
      <c r="G52" s="518">
        <v>6.37</v>
      </c>
      <c r="H52" s="518">
        <v>7.15</v>
      </c>
      <c r="I52" s="7">
        <v>7.66</v>
      </c>
      <c r="J52" s="272">
        <v>7.21</v>
      </c>
      <c r="K52" s="272">
        <v>7.95</v>
      </c>
      <c r="L52" s="272">
        <v>7.83</v>
      </c>
      <c r="M52" s="272">
        <v>7.96</v>
      </c>
      <c r="N52" s="272">
        <v>7.74</v>
      </c>
      <c r="O52" s="272">
        <v>7.43</v>
      </c>
      <c r="P52" s="272">
        <v>6.82</v>
      </c>
      <c r="Q52" s="272">
        <v>6.49</v>
      </c>
      <c r="R52" s="233"/>
      <c r="S52" s="31">
        <f t="shared" si="10"/>
        <v>6.51</v>
      </c>
      <c r="T52" s="31">
        <f t="shared" si="11"/>
        <v>7.21</v>
      </c>
      <c r="U52" s="39">
        <f t="shared" si="3"/>
        <v>-0.7000000000000002</v>
      </c>
      <c r="V52" s="40">
        <f t="shared" si="4"/>
        <v>-0.09708737864077673</v>
      </c>
      <c r="W52" s="233"/>
      <c r="X52" s="31">
        <f>F52</f>
        <v>6.51</v>
      </c>
      <c r="Y52" s="31">
        <v>7.21</v>
      </c>
      <c r="Z52" s="272">
        <v>7.74</v>
      </c>
      <c r="AA52" s="371">
        <v>5.99</v>
      </c>
      <c r="AB52" s="371">
        <v>4.82</v>
      </c>
      <c r="AC52" s="371">
        <v>2.59</v>
      </c>
    </row>
    <row r="53" spans="1:29" ht="12.75" customHeight="1">
      <c r="A53" s="7"/>
      <c r="B53" s="7"/>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92"/>
      <c r="AB53" s="92"/>
      <c r="AC53" s="92"/>
    </row>
    <row r="54" spans="1:29" ht="12.75" customHeight="1">
      <c r="A54" s="7"/>
      <c r="B54" s="7"/>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371"/>
      <c r="AB54" s="371"/>
      <c r="AC54" s="371"/>
    </row>
    <row r="55" spans="1:29" ht="18" customHeight="1">
      <c r="A55" s="12" t="s">
        <v>280</v>
      </c>
      <c r="B55" s="7"/>
      <c r="C55" s="92"/>
      <c r="D55" s="92"/>
      <c r="E55" s="233"/>
      <c r="F55" s="233"/>
      <c r="G55" s="233"/>
      <c r="H55" s="233"/>
      <c r="I55" s="233"/>
      <c r="J55" s="233"/>
      <c r="K55" s="233"/>
      <c r="L55" s="92"/>
      <c r="M55" s="92"/>
      <c r="N55" s="92"/>
      <c r="O55" s="92"/>
      <c r="P55" s="92"/>
      <c r="Q55" s="92"/>
      <c r="R55" s="92"/>
      <c r="S55" s="92"/>
      <c r="T55" s="92"/>
      <c r="U55" s="92"/>
      <c r="V55" s="92"/>
      <c r="W55" s="92"/>
      <c r="X55" s="92"/>
      <c r="Y55" s="92"/>
      <c r="Z55" s="92"/>
      <c r="AA55" s="371"/>
      <c r="AB55" s="371"/>
      <c r="AC55" s="371"/>
    </row>
    <row r="56" spans="1:29" ht="12.75" customHeight="1">
      <c r="A56" s="279"/>
      <c r="B56" s="7"/>
      <c r="C56" s="92"/>
      <c r="D56" s="92"/>
      <c r="E56" s="233"/>
      <c r="F56" s="532"/>
      <c r="G56" s="532"/>
      <c r="H56" s="233"/>
      <c r="I56" s="233"/>
      <c r="J56" s="233"/>
      <c r="K56" s="233"/>
      <c r="L56" s="92"/>
      <c r="M56" s="92"/>
      <c r="N56" s="92"/>
      <c r="O56" s="92"/>
      <c r="P56" s="92"/>
      <c r="Q56" s="92"/>
      <c r="R56" s="92"/>
      <c r="S56" s="92"/>
      <c r="T56" s="92"/>
      <c r="U56" s="92"/>
      <c r="V56" s="92"/>
      <c r="W56" s="92"/>
      <c r="X56" s="92"/>
      <c r="Y56" s="92"/>
      <c r="Z56" s="92"/>
      <c r="AA56" s="371"/>
      <c r="AB56" s="371"/>
      <c r="AC56" s="371"/>
    </row>
    <row r="57" spans="1:29" ht="12.75" customHeight="1">
      <c r="A57" s="6"/>
      <c r="B57" s="7"/>
      <c r="C57" s="611" t="str">
        <f>C9</f>
        <v>Q4/09 vs. Q4/08</v>
      </c>
      <c r="D57" s="629"/>
      <c r="E57" s="15"/>
      <c r="F57" s="533"/>
      <c r="G57" s="15"/>
      <c r="H57" s="18"/>
      <c r="I57" s="250"/>
      <c r="J57" s="281"/>
      <c r="K57" s="281"/>
      <c r="L57" s="281"/>
      <c r="M57" s="281"/>
      <c r="N57" s="280"/>
      <c r="O57" s="250"/>
      <c r="P57" s="250"/>
      <c r="Q57" s="250"/>
      <c r="R57" s="99"/>
      <c r="S57" s="611" t="str">
        <f>S9</f>
        <v>FY09 vs FY08</v>
      </c>
      <c r="T57" s="640"/>
      <c r="U57" s="640"/>
      <c r="V57" s="641"/>
      <c r="W57" s="15"/>
      <c r="X57" s="98"/>
      <c r="Y57" s="282"/>
      <c r="Z57" s="280"/>
      <c r="AA57" s="98"/>
      <c r="AB57" s="98"/>
      <c r="AC57" s="98"/>
    </row>
    <row r="58" spans="1:29" ht="12.75" customHeight="1">
      <c r="A58" s="232" t="s">
        <v>199</v>
      </c>
      <c r="B58" s="7"/>
      <c r="C58" s="635" t="s">
        <v>51</v>
      </c>
      <c r="D58" s="636"/>
      <c r="E58" s="283"/>
      <c r="F58" s="20" t="str">
        <f>F10</f>
        <v>Q4/09</v>
      </c>
      <c r="G58" s="21" t="s">
        <v>167</v>
      </c>
      <c r="H58" s="21" t="s">
        <v>168</v>
      </c>
      <c r="I58" s="14" t="s">
        <v>42</v>
      </c>
      <c r="J58" s="21" t="s">
        <v>43</v>
      </c>
      <c r="K58" s="21" t="s">
        <v>44</v>
      </c>
      <c r="L58" s="21" t="s">
        <v>45</v>
      </c>
      <c r="M58" s="21" t="s">
        <v>46</v>
      </c>
      <c r="N58" s="23" t="s">
        <v>47</v>
      </c>
      <c r="O58" s="14" t="s">
        <v>48</v>
      </c>
      <c r="P58" s="14" t="s">
        <v>49</v>
      </c>
      <c r="Q58" s="14" t="s">
        <v>50</v>
      </c>
      <c r="R58" s="345"/>
      <c r="S58" s="318" t="str">
        <f>S10</f>
        <v>FY09</v>
      </c>
      <c r="T58" s="15" t="str">
        <f>T10</f>
        <v>FY08</v>
      </c>
      <c r="U58" s="637" t="s">
        <v>51</v>
      </c>
      <c r="V58" s="638"/>
      <c r="W58" s="283"/>
      <c r="X58" s="20" t="s">
        <v>55</v>
      </c>
      <c r="Y58" s="20" t="s">
        <v>52</v>
      </c>
      <c r="Z58" s="23" t="s">
        <v>53</v>
      </c>
      <c r="AA58" s="23" t="s">
        <v>242</v>
      </c>
      <c r="AB58" s="23" t="s">
        <v>243</v>
      </c>
      <c r="AC58" s="392" t="s">
        <v>249</v>
      </c>
    </row>
    <row r="59" spans="1:29" ht="12.75" customHeight="1">
      <c r="A59" s="232"/>
      <c r="B59" s="233" t="s">
        <v>4</v>
      </c>
      <c r="C59" s="93">
        <f>F59-J59</f>
        <v>-36450</v>
      </c>
      <c r="D59" s="44">
        <f>C59/J59</f>
        <v>-0.25410258912761596</v>
      </c>
      <c r="E59" s="233"/>
      <c r="F59" s="316">
        <f>F17</f>
        <v>106996</v>
      </c>
      <c r="G59" s="400">
        <v>87188</v>
      </c>
      <c r="H59" s="400">
        <v>110829</v>
      </c>
      <c r="I59" s="463">
        <v>172708</v>
      </c>
      <c r="J59" s="30">
        <v>143446</v>
      </c>
      <c r="K59" s="30">
        <v>183354</v>
      </c>
      <c r="L59" s="30">
        <v>158869</v>
      </c>
      <c r="M59" s="242">
        <v>245870</v>
      </c>
      <c r="N59" s="42">
        <v>216443</v>
      </c>
      <c r="O59" s="27">
        <v>178313</v>
      </c>
      <c r="P59" s="27">
        <v>156031</v>
      </c>
      <c r="Q59" s="242">
        <v>206127</v>
      </c>
      <c r="R59" s="99"/>
      <c r="S59" s="424">
        <f aca="true" t="shared" si="14" ref="S59:T62">X59</f>
        <v>477721</v>
      </c>
      <c r="T59" s="417">
        <f t="shared" si="14"/>
        <v>731539</v>
      </c>
      <c r="U59" s="425">
        <f aca="true" t="shared" si="15" ref="U59:U69">S59-T59</f>
        <v>-253818</v>
      </c>
      <c r="V59" s="426">
        <f>U59/T59</f>
        <v>-0.346964413380558</v>
      </c>
      <c r="W59" s="92"/>
      <c r="X59" s="265">
        <f>F59+G59+H59+I59</f>
        <v>477721</v>
      </c>
      <c r="Y59" s="94">
        <v>731539</v>
      </c>
      <c r="Z59" s="42">
        <v>756914</v>
      </c>
      <c r="AA59" s="374">
        <v>583415</v>
      </c>
      <c r="AB59" s="374">
        <v>432778</v>
      </c>
      <c r="AC59" s="374">
        <v>402157</v>
      </c>
    </row>
    <row r="60" spans="1:29" ht="12.75" customHeight="1">
      <c r="A60" s="92"/>
      <c r="B60" s="233" t="s">
        <v>163</v>
      </c>
      <c r="C60" s="93">
        <f>F60-J60</f>
        <v>-31463</v>
      </c>
      <c r="D60" s="44">
        <f>C60/J60</f>
        <v>-0.2390224261577732</v>
      </c>
      <c r="E60" s="11"/>
      <c r="F60" s="503">
        <f>F33-F32-F30-F29-F31</f>
        <v>100169</v>
      </c>
      <c r="G60" s="530">
        <v>108534</v>
      </c>
      <c r="H60" s="530">
        <v>115805</v>
      </c>
      <c r="I60" s="463">
        <v>149179</v>
      </c>
      <c r="J60" s="30">
        <v>131632</v>
      </c>
      <c r="K60" s="30">
        <v>154817</v>
      </c>
      <c r="L60" s="30">
        <v>135342</v>
      </c>
      <c r="M60" s="27">
        <v>187220</v>
      </c>
      <c r="N60" s="42">
        <v>176307</v>
      </c>
      <c r="O60" s="27">
        <v>144677</v>
      </c>
      <c r="P60" s="27">
        <v>130781</v>
      </c>
      <c r="Q60" s="27">
        <v>166952</v>
      </c>
      <c r="R60" s="99"/>
      <c r="S60" s="261">
        <f t="shared" si="14"/>
        <v>473687</v>
      </c>
      <c r="T60" s="238">
        <f t="shared" si="14"/>
        <v>609011</v>
      </c>
      <c r="U60" s="299">
        <f t="shared" si="15"/>
        <v>-135324</v>
      </c>
      <c r="V60" s="421">
        <f>U60/T60</f>
        <v>-0.2222028830349534</v>
      </c>
      <c r="W60" s="92"/>
      <c r="X60" s="265">
        <f>F60+G60+H60+I60</f>
        <v>473687</v>
      </c>
      <c r="Y60" s="94">
        <v>609011</v>
      </c>
      <c r="Z60" s="42">
        <v>618717</v>
      </c>
      <c r="AA60" s="37">
        <f>AA33</f>
        <v>464385</v>
      </c>
      <c r="AB60" s="42">
        <f>AB33</f>
        <v>360022</v>
      </c>
      <c r="AC60" s="42">
        <v>339600</v>
      </c>
    </row>
    <row r="61" spans="1:29" ht="12.75" customHeight="1">
      <c r="A61" s="92"/>
      <c r="B61" s="233" t="s">
        <v>151</v>
      </c>
      <c r="C61" s="93">
        <f>F61-J61</f>
        <v>-4987</v>
      </c>
      <c r="D61" s="44">
        <f>C61/J61</f>
        <v>-0.42212629084137465</v>
      </c>
      <c r="E61" s="11"/>
      <c r="F61" s="503">
        <f>F59-F60</f>
        <v>6827</v>
      </c>
      <c r="G61" s="530">
        <v>-21346</v>
      </c>
      <c r="H61" s="530">
        <v>-4976</v>
      </c>
      <c r="I61" s="463">
        <v>23529</v>
      </c>
      <c r="J61" s="30">
        <v>11814</v>
      </c>
      <c r="K61" s="30">
        <v>28537</v>
      </c>
      <c r="L61" s="30">
        <v>23527</v>
      </c>
      <c r="M61" s="27">
        <v>58650</v>
      </c>
      <c r="N61" s="42">
        <v>40136</v>
      </c>
      <c r="O61" s="27">
        <v>33636</v>
      </c>
      <c r="P61" s="27">
        <v>25250</v>
      </c>
      <c r="Q61" s="27">
        <v>39175</v>
      </c>
      <c r="R61" s="99"/>
      <c r="S61" s="261">
        <f t="shared" si="14"/>
        <v>4034</v>
      </c>
      <c r="T61" s="238">
        <f t="shared" si="14"/>
        <v>122528</v>
      </c>
      <c r="U61" s="299">
        <f t="shared" si="15"/>
        <v>-118494</v>
      </c>
      <c r="V61" s="421">
        <f>U61/T61</f>
        <v>-0.9670769130321233</v>
      </c>
      <c r="W61" s="92"/>
      <c r="X61" s="265">
        <f>F61+G61+H61+I61</f>
        <v>4034</v>
      </c>
      <c r="Y61" s="94">
        <v>122528</v>
      </c>
      <c r="Z61" s="42">
        <v>138197</v>
      </c>
      <c r="AA61" s="42">
        <f>AA35</f>
        <v>119030</v>
      </c>
      <c r="AB61" s="42">
        <f>AB35</f>
        <v>72756</v>
      </c>
      <c r="AC61" s="42">
        <v>62557</v>
      </c>
    </row>
    <row r="62" spans="1:29" ht="12.75" customHeight="1">
      <c r="A62" s="92"/>
      <c r="B62" s="233" t="s">
        <v>278</v>
      </c>
      <c r="C62" s="239">
        <f>F62-J62</f>
        <v>-3410.5200000000004</v>
      </c>
      <c r="D62" s="240">
        <f>C62/J62</f>
        <v>-0.4753655993711078</v>
      </c>
      <c r="E62" s="11"/>
      <c r="F62" s="554">
        <f>F61-3063</f>
        <v>3764</v>
      </c>
      <c r="G62" s="543">
        <v>-16242</v>
      </c>
      <c r="H62" s="543">
        <v>-5398</v>
      </c>
      <c r="I62" s="465">
        <v>16459</v>
      </c>
      <c r="J62" s="243">
        <v>7174.52</v>
      </c>
      <c r="K62" s="243">
        <v>17832.934</v>
      </c>
      <c r="L62" s="243">
        <v>15309.940999999999</v>
      </c>
      <c r="M62" s="244">
        <v>39029</v>
      </c>
      <c r="N62" s="245">
        <v>26016</v>
      </c>
      <c r="O62" s="244">
        <v>23692</v>
      </c>
      <c r="P62" s="244">
        <v>17806</v>
      </c>
      <c r="Q62" s="244">
        <v>25942</v>
      </c>
      <c r="R62" s="99"/>
      <c r="S62" s="535">
        <f t="shared" si="14"/>
        <v>-1417</v>
      </c>
      <c r="T62" s="419">
        <f t="shared" si="14"/>
        <v>79346.395</v>
      </c>
      <c r="U62" s="422">
        <f t="shared" si="15"/>
        <v>-80763.395</v>
      </c>
      <c r="V62" s="423">
        <f>U62/T62</f>
        <v>-1.0178584042791106</v>
      </c>
      <c r="W62" s="92"/>
      <c r="X62" s="284">
        <f>F62+G62+H62+I62</f>
        <v>-1417</v>
      </c>
      <c r="Y62" s="241">
        <v>79346.395</v>
      </c>
      <c r="Z62" s="245">
        <v>93456</v>
      </c>
      <c r="AA62" s="245">
        <f>AA39</f>
        <v>81150</v>
      </c>
      <c r="AB62" s="245">
        <f>AB39</f>
        <v>48579</v>
      </c>
      <c r="AC62" s="245">
        <v>40429</v>
      </c>
    </row>
    <row r="63" spans="1:29" ht="12.75" customHeight="1">
      <c r="A63" s="92"/>
      <c r="B63" s="233"/>
      <c r="C63" s="238"/>
      <c r="D63" s="11"/>
      <c r="E63" s="11"/>
      <c r="F63" s="11"/>
      <c r="G63" s="11"/>
      <c r="H63" s="11"/>
      <c r="I63" s="233"/>
      <c r="J63" s="238"/>
      <c r="K63" s="238"/>
      <c r="L63" s="238"/>
      <c r="M63" s="238"/>
      <c r="N63" s="238"/>
      <c r="O63" s="238"/>
      <c r="P63" s="238"/>
      <c r="Q63" s="238"/>
      <c r="R63" s="233"/>
      <c r="S63" s="233"/>
      <c r="T63" s="7"/>
      <c r="U63" s="238"/>
      <c r="V63" s="11"/>
      <c r="W63" s="233"/>
      <c r="X63" s="233"/>
      <c r="Y63" s="238"/>
      <c r="Z63" s="238"/>
      <c r="AA63" s="30"/>
      <c r="AB63" s="30"/>
      <c r="AC63" s="30"/>
    </row>
    <row r="64" spans="1:29" ht="12.75" customHeight="1">
      <c r="A64" s="92"/>
      <c r="B64" s="230" t="s">
        <v>155</v>
      </c>
      <c r="C64" s="247">
        <f>(F64-J64)*100</f>
        <v>0.9280457680980181</v>
      </c>
      <c r="D64" s="11"/>
      <c r="E64" s="11"/>
      <c r="F64" s="11">
        <f>(F21+F22+F23+F24+F25+F26+F27)/F17</f>
        <v>0.38178997345695165</v>
      </c>
      <c r="G64" s="11">
        <v>0.6012065880625774</v>
      </c>
      <c r="H64" s="497">
        <v>0.4568569598209855</v>
      </c>
      <c r="I64" s="11">
        <v>0.2953482178011441</v>
      </c>
      <c r="J64" s="11">
        <v>0.37250951577597147</v>
      </c>
      <c r="K64" s="11">
        <v>0.2802284106155306</v>
      </c>
      <c r="L64" s="11">
        <v>0.32276277939686154</v>
      </c>
      <c r="M64" s="11">
        <v>0.20899999999999996</v>
      </c>
      <c r="N64" s="11">
        <v>0.23099999999999998</v>
      </c>
      <c r="O64" s="11">
        <v>0.2440000000000001</v>
      </c>
      <c r="P64" s="11">
        <v>0.2889999999999999</v>
      </c>
      <c r="Q64" s="11">
        <v>0.24</v>
      </c>
      <c r="R64" s="233"/>
      <c r="S64" s="11">
        <f aca="true" t="shared" si="16" ref="S64:S69">X64</f>
        <v>0.40799964833030156</v>
      </c>
      <c r="T64" s="11">
        <f aca="true" t="shared" si="17" ref="T64:T69">Y64</f>
        <v>0.28383722535640615</v>
      </c>
      <c r="U64" s="247">
        <f>(S64-T64)*100</f>
        <v>12.416242297389541</v>
      </c>
      <c r="V64" s="11"/>
      <c r="W64" s="233"/>
      <c r="X64" s="11">
        <f>(X21+X22+X23+X24+X25+X26+X27+X28)/X59</f>
        <v>0.40799964833030156</v>
      </c>
      <c r="Y64" s="11">
        <v>0.28383722535640615</v>
      </c>
      <c r="Z64" s="11">
        <v>0.248</v>
      </c>
      <c r="AA64" s="34">
        <f aca="true" t="shared" si="18" ref="AA64:AB66">AA44</f>
        <v>0.21100000000000008</v>
      </c>
      <c r="AB64" s="34">
        <f t="shared" si="18"/>
        <v>0.21699999999999997</v>
      </c>
      <c r="AC64" s="34">
        <v>0.20799999999999996</v>
      </c>
    </row>
    <row r="65" spans="1:29" ht="12.75" customHeight="1">
      <c r="A65" s="92"/>
      <c r="B65" s="230" t="s">
        <v>156</v>
      </c>
      <c r="C65" s="247">
        <f>(F65-J65)*100</f>
        <v>1.8552394594623656</v>
      </c>
      <c r="D65" s="11"/>
      <c r="E65" s="11"/>
      <c r="F65" s="11">
        <f>F60/F59</f>
        <v>0.9361938764065947</v>
      </c>
      <c r="G65" s="11">
        <v>1.2448272698077718</v>
      </c>
      <c r="H65" s="497">
        <v>1.044897996011874</v>
      </c>
      <c r="I65" s="11">
        <v>0.8637642726451583</v>
      </c>
      <c r="J65" s="11">
        <v>0.917641481811971</v>
      </c>
      <c r="K65" s="11">
        <v>0.8443611811032211</v>
      </c>
      <c r="L65" s="11">
        <v>0.8519094348173653</v>
      </c>
      <c r="M65" s="11">
        <v>0.761</v>
      </c>
      <c r="N65" s="11">
        <v>0.815</v>
      </c>
      <c r="O65" s="11">
        <v>0.811</v>
      </c>
      <c r="P65" s="11">
        <v>0.838</v>
      </c>
      <c r="Q65" s="11">
        <v>0.81</v>
      </c>
      <c r="R65" s="233"/>
      <c r="S65" s="11">
        <f t="shared" si="16"/>
        <v>0.9915557406938359</v>
      </c>
      <c r="T65" s="11">
        <f t="shared" si="17"/>
        <v>0.8325065375871963</v>
      </c>
      <c r="U65" s="247">
        <f>(S65-T65)*100</f>
        <v>15.904920310663961</v>
      </c>
      <c r="V65" s="11"/>
      <c r="W65" s="233"/>
      <c r="X65" s="11">
        <f>X60/X59</f>
        <v>0.9915557406938359</v>
      </c>
      <c r="Y65" s="11">
        <v>0.8325065375871963</v>
      </c>
      <c r="Z65" s="11">
        <v>0.817</v>
      </c>
      <c r="AA65" s="34">
        <f t="shared" si="18"/>
        <v>0.796</v>
      </c>
      <c r="AB65" s="34">
        <f t="shared" si="18"/>
        <v>0.832</v>
      </c>
      <c r="AC65" s="34">
        <v>0.844</v>
      </c>
    </row>
    <row r="66" spans="1:29" ht="12.75" customHeight="1">
      <c r="A66" s="92"/>
      <c r="B66" s="230" t="s">
        <v>157</v>
      </c>
      <c r="C66" s="247">
        <f>(F66-J66)*100</f>
        <v>-1.8552394594623587</v>
      </c>
      <c r="D66" s="11"/>
      <c r="E66" s="11"/>
      <c r="F66" s="11">
        <f>F61/F59</f>
        <v>0.06380612359340536</v>
      </c>
      <c r="G66" s="11">
        <v>-0.24482726980777172</v>
      </c>
      <c r="H66" s="273">
        <v>-0.04489799601187415</v>
      </c>
      <c r="I66" s="11">
        <v>0.13623572735484168</v>
      </c>
      <c r="J66" s="11">
        <v>0.08235851818802895</v>
      </c>
      <c r="K66" s="11">
        <v>0.1556388188967789</v>
      </c>
      <c r="L66" s="11">
        <v>0.14809056518263475</v>
      </c>
      <c r="M66" s="11">
        <v>0.239</v>
      </c>
      <c r="N66" s="11">
        <v>0.185</v>
      </c>
      <c r="O66" s="11">
        <v>0.18899999999999995</v>
      </c>
      <c r="P66" s="11">
        <v>0.16200000000000003</v>
      </c>
      <c r="Q66" s="11">
        <v>0.19</v>
      </c>
      <c r="R66" s="233"/>
      <c r="S66" s="11">
        <f t="shared" si="16"/>
        <v>0.008444259306164058</v>
      </c>
      <c r="T66" s="11">
        <f t="shared" si="17"/>
        <v>0.1674934624128037</v>
      </c>
      <c r="U66" s="247">
        <f>(S66-T66)*100</f>
        <v>-15.904920310663965</v>
      </c>
      <c r="V66" s="11"/>
      <c r="W66" s="233"/>
      <c r="X66" s="11">
        <f>X61/X59</f>
        <v>0.008444259306164058</v>
      </c>
      <c r="Y66" s="11">
        <v>0.1674934624128037</v>
      </c>
      <c r="Z66" s="11">
        <v>0.18300000000000005</v>
      </c>
      <c r="AA66" s="34">
        <f t="shared" si="18"/>
        <v>0.20399999999999996</v>
      </c>
      <c r="AB66" s="34">
        <f t="shared" si="18"/>
        <v>0.16800000000000004</v>
      </c>
      <c r="AC66" s="34">
        <v>0.15600000000000003</v>
      </c>
    </row>
    <row r="67" spans="1:29" ht="12.75" customHeight="1">
      <c r="A67" s="92"/>
      <c r="B67" s="231" t="s">
        <v>159</v>
      </c>
      <c r="C67" s="247">
        <f>(F67-J67)*100</f>
        <v>-1.483659101510465</v>
      </c>
      <c r="D67" s="248"/>
      <c r="E67" s="40"/>
      <c r="F67" s="40">
        <f>F62/F59</f>
        <v>0.035178885191969794</v>
      </c>
      <c r="G67" s="40">
        <v>-0.1862871037298711</v>
      </c>
      <c r="H67" s="273">
        <v>-0.048705663680083736</v>
      </c>
      <c r="I67" s="11">
        <v>0.09529958079533085</v>
      </c>
      <c r="J67" s="11">
        <v>0.050015476207074444</v>
      </c>
      <c r="K67" s="11">
        <v>0.09725958528311354</v>
      </c>
      <c r="L67" s="11">
        <v>0.0963683349174477</v>
      </c>
      <c r="M67" s="11">
        <v>0.159</v>
      </c>
      <c r="N67" s="11">
        <v>0.12</v>
      </c>
      <c r="O67" s="11">
        <v>0.133</v>
      </c>
      <c r="P67" s="11">
        <v>0.114</v>
      </c>
      <c r="Q67" s="11">
        <v>0.126</v>
      </c>
      <c r="R67" s="233"/>
      <c r="S67" s="11">
        <f t="shared" si="16"/>
        <v>-0.0029661664444309544</v>
      </c>
      <c r="T67" s="11">
        <f t="shared" si="17"/>
        <v>0.10846502373762712</v>
      </c>
      <c r="U67" s="247">
        <f>(S67-T67)*100+0.01</f>
        <v>-11.133119018205807</v>
      </c>
      <c r="V67" s="40"/>
      <c r="W67" s="233"/>
      <c r="X67" s="11">
        <f>X62/X59</f>
        <v>-0.0029661664444309544</v>
      </c>
      <c r="Y67" s="11">
        <v>0.10846502373762712</v>
      </c>
      <c r="Z67" s="11">
        <v>0.123</v>
      </c>
      <c r="AA67" s="34">
        <f>AA48</f>
        <v>0.139</v>
      </c>
      <c r="AB67" s="34">
        <f>AB48</f>
        <v>0.112</v>
      </c>
      <c r="AC67" s="34">
        <v>0.101</v>
      </c>
    </row>
    <row r="68" spans="1:29" ht="12.75" customHeight="1">
      <c r="A68" s="92"/>
      <c r="B68" s="92" t="s">
        <v>164</v>
      </c>
      <c r="C68" s="39">
        <f>F68-J68</f>
        <v>-0.08</v>
      </c>
      <c r="D68" s="40">
        <f>C68/J68</f>
        <v>-0.5</v>
      </c>
      <c r="E68" s="40"/>
      <c r="F68" s="518">
        <v>0.08</v>
      </c>
      <c r="G68" s="518">
        <v>-0.33</v>
      </c>
      <c r="H68" s="518">
        <v>-0.11</v>
      </c>
      <c r="I68" s="32">
        <v>0.35</v>
      </c>
      <c r="J68" s="32">
        <v>0.16</v>
      </c>
      <c r="K68" s="32">
        <v>0.4013</v>
      </c>
      <c r="L68" s="32">
        <v>0.3404</v>
      </c>
      <c r="M68" s="32">
        <v>0.86</v>
      </c>
      <c r="N68" s="32">
        <v>0.57</v>
      </c>
      <c r="O68" s="32">
        <v>0.51</v>
      </c>
      <c r="P68" s="32">
        <v>0.39</v>
      </c>
      <c r="Q68" s="32">
        <v>0.57</v>
      </c>
      <c r="R68" s="233"/>
      <c r="S68" s="32">
        <f t="shared" si="16"/>
        <v>-0.03</v>
      </c>
      <c r="T68" s="32">
        <f t="shared" si="17"/>
        <v>1.77</v>
      </c>
      <c r="U68" s="39">
        <f t="shared" si="15"/>
        <v>-1.8</v>
      </c>
      <c r="V68" s="40">
        <f>U68/T68</f>
        <v>-1.0169491525423728</v>
      </c>
      <c r="W68" s="233"/>
      <c r="X68" s="31">
        <v>-0.03</v>
      </c>
      <c r="Y68" s="31">
        <v>1.77</v>
      </c>
      <c r="Z68" s="31">
        <v>2.03</v>
      </c>
      <c r="AA68" s="31">
        <f>AA50</f>
        <v>1.82</v>
      </c>
      <c r="AB68" s="31">
        <f>AB50</f>
        <v>1.17</v>
      </c>
      <c r="AC68" s="31">
        <v>1.43</v>
      </c>
    </row>
    <row r="69" spans="1:29" ht="12.75" customHeight="1">
      <c r="A69" s="92"/>
      <c r="B69" s="92" t="s">
        <v>165</v>
      </c>
      <c r="C69" s="39">
        <f>F69-J69</f>
        <v>-0.07999999999999999</v>
      </c>
      <c r="D69" s="40">
        <f>C69/J69</f>
        <v>-0.5333333333333333</v>
      </c>
      <c r="E69" s="40"/>
      <c r="F69" s="518">
        <f>F51</f>
        <v>0.07</v>
      </c>
      <c r="G69" s="518">
        <v>-0.33</v>
      </c>
      <c r="H69" s="518">
        <v>-0.11</v>
      </c>
      <c r="I69" s="32">
        <v>0.31</v>
      </c>
      <c r="J69" s="31">
        <v>0.15</v>
      </c>
      <c r="K69" s="31">
        <v>0.359</v>
      </c>
      <c r="L69" s="31">
        <v>0.3135</v>
      </c>
      <c r="M69" s="31">
        <v>0.8</v>
      </c>
      <c r="N69" s="31">
        <v>0.54</v>
      </c>
      <c r="O69" s="31">
        <v>0.49</v>
      </c>
      <c r="P69" s="31">
        <v>0.37</v>
      </c>
      <c r="Q69" s="31">
        <v>0.54</v>
      </c>
      <c r="R69" s="233"/>
      <c r="S69" s="31">
        <f t="shared" si="16"/>
        <v>-0.03</v>
      </c>
      <c r="T69" s="31">
        <f t="shared" si="17"/>
        <v>1.63</v>
      </c>
      <c r="U69" s="39">
        <f t="shared" si="15"/>
        <v>-1.66</v>
      </c>
      <c r="V69" s="40">
        <f>U69/T69</f>
        <v>-1.0184049079754602</v>
      </c>
      <c r="W69" s="233"/>
      <c r="X69" s="31">
        <v>-0.03</v>
      </c>
      <c r="Y69" s="272">
        <v>1.63</v>
      </c>
      <c r="Z69" s="272">
        <v>1.94</v>
      </c>
      <c r="AA69" s="31">
        <f>AA51</f>
        <v>1.74</v>
      </c>
      <c r="AB69" s="31">
        <f>AB51</f>
        <v>1.11</v>
      </c>
      <c r="AC69" s="31">
        <v>1.12</v>
      </c>
    </row>
    <row r="70" spans="1:29" ht="12.75" customHeight="1">
      <c r="A70" s="279"/>
      <c r="B70" s="7"/>
      <c r="C70" s="233"/>
      <c r="D70" s="233"/>
      <c r="E70" s="233"/>
      <c r="F70" s="233"/>
      <c r="G70" s="233"/>
      <c r="H70" s="233"/>
      <c r="I70" s="233"/>
      <c r="J70" s="233"/>
      <c r="K70" s="233"/>
      <c r="L70" s="233"/>
      <c r="M70" s="7"/>
      <c r="N70" s="233"/>
      <c r="O70" s="7"/>
      <c r="P70" s="7"/>
      <c r="Q70" s="233"/>
      <c r="R70" s="233"/>
      <c r="S70" s="233"/>
      <c r="T70" s="233"/>
      <c r="U70" s="233"/>
      <c r="V70" s="233"/>
      <c r="W70" s="233"/>
      <c r="X70" s="233"/>
      <c r="Y70" s="233"/>
      <c r="Z70" s="233"/>
      <c r="AA70" s="30"/>
      <c r="AB70" s="30"/>
      <c r="AC70" s="92"/>
    </row>
    <row r="71" spans="1:29" ht="12.75" customHeight="1">
      <c r="A71" s="1" t="s">
        <v>41</v>
      </c>
      <c r="B71" s="13"/>
      <c r="C71" s="460"/>
      <c r="D71" s="460"/>
      <c r="E71" s="460"/>
      <c r="F71" s="460"/>
      <c r="G71" s="460"/>
      <c r="H71" s="460"/>
      <c r="I71" s="15"/>
      <c r="J71" s="15"/>
      <c r="K71" s="15"/>
      <c r="L71" s="15"/>
      <c r="M71" s="15"/>
      <c r="N71" s="15"/>
      <c r="O71" s="15"/>
      <c r="P71" s="15"/>
      <c r="Q71" s="15"/>
      <c r="R71" s="233"/>
      <c r="S71" s="233"/>
      <c r="T71" s="233"/>
      <c r="U71" s="92"/>
      <c r="V71" s="92"/>
      <c r="W71" s="92"/>
      <c r="X71" s="92"/>
      <c r="Y71" s="7"/>
      <c r="Z71" s="7"/>
      <c r="AA71" s="30"/>
      <c r="AB71" s="30"/>
      <c r="AC71" s="92"/>
    </row>
    <row r="72" spans="1:27" ht="12.75">
      <c r="A72" s="3"/>
      <c r="B72" s="3"/>
      <c r="C72" s="3"/>
      <c r="D72" s="3"/>
      <c r="I72" s="2"/>
      <c r="J72" s="2"/>
      <c r="K72" s="2"/>
      <c r="L72" s="2"/>
      <c r="M72" s="2"/>
      <c r="N72" s="2"/>
      <c r="O72" s="2"/>
      <c r="P72" s="2"/>
      <c r="Q72" s="2"/>
      <c r="R72" s="3"/>
      <c r="S72" s="3"/>
      <c r="T72" s="3"/>
      <c r="Y72" s="30"/>
      <c r="Z72" s="30"/>
      <c r="AA72" s="118"/>
    </row>
    <row r="73" spans="9:27" ht="12.75">
      <c r="I73" s="30"/>
      <c r="Q73" s="30"/>
      <c r="R73" s="3"/>
      <c r="S73" s="3"/>
      <c r="T73" s="3"/>
      <c r="Y73" s="30"/>
      <c r="Z73" s="30"/>
      <c r="AA73" s="118"/>
    </row>
    <row r="74" spans="9:27" ht="12.75">
      <c r="I74" s="519"/>
      <c r="Q74" s="30"/>
      <c r="R74" s="3"/>
      <c r="S74" s="3"/>
      <c r="T74" s="3"/>
      <c r="Y74" s="30"/>
      <c r="Z74" s="30"/>
      <c r="AA74" s="118"/>
    </row>
    <row r="75" spans="9:26" ht="12.75">
      <c r="I75" s="30"/>
      <c r="Q75" s="30"/>
      <c r="R75" s="3"/>
      <c r="S75" s="3"/>
      <c r="T75" s="3"/>
      <c r="Y75" s="30"/>
      <c r="Z75" s="30"/>
    </row>
    <row r="76" spans="9:27" ht="12.75">
      <c r="I76" s="30"/>
      <c r="Q76" s="30"/>
      <c r="R76" s="3"/>
      <c r="S76" s="3"/>
      <c r="T76" s="3"/>
      <c r="Y76" s="2"/>
      <c r="Z76" s="2"/>
      <c r="AA76" s="375"/>
    </row>
    <row r="77" spans="9:27" ht="12.75">
      <c r="I77" s="2"/>
      <c r="Q77" s="235"/>
      <c r="R77" s="3"/>
      <c r="S77" s="3"/>
      <c r="T77" s="3"/>
      <c r="Y77" s="2"/>
      <c r="Z77" s="2"/>
      <c r="AA77" s="375"/>
    </row>
    <row r="78" spans="9:26" ht="12.75">
      <c r="I78" s="2"/>
      <c r="Q78" s="236"/>
      <c r="R78" s="3"/>
      <c r="S78" s="3"/>
      <c r="T78" s="3"/>
      <c r="Y78" s="2"/>
      <c r="Z78" s="2"/>
    </row>
    <row r="79" spans="9:26" ht="12.75">
      <c r="I79" s="2"/>
      <c r="Q79" s="236"/>
      <c r="R79" s="3"/>
      <c r="S79" s="3"/>
      <c r="T79" s="3"/>
      <c r="Y79" s="31"/>
      <c r="Z79" s="31"/>
    </row>
    <row r="80" spans="9:26" ht="12.75">
      <c r="I80" s="31"/>
      <c r="Q80" s="11"/>
      <c r="R80" s="3"/>
      <c r="S80" s="3"/>
      <c r="T80" s="3"/>
      <c r="Y80" s="31"/>
      <c r="Z80" s="31"/>
    </row>
    <row r="81" spans="9:26" ht="12.75">
      <c r="I81" s="31"/>
      <c r="Q81" s="11"/>
      <c r="R81" s="3"/>
      <c r="S81" s="3"/>
      <c r="T81" s="3"/>
      <c r="Y81" s="31"/>
      <c r="Z81" s="31"/>
    </row>
    <row r="82" spans="9:26" ht="12.75">
      <c r="I82" s="32"/>
      <c r="Q82" s="32"/>
      <c r="R82" s="3"/>
      <c r="S82" s="3"/>
      <c r="T82" s="3"/>
      <c r="Y82" s="2"/>
      <c r="Z82" s="2"/>
    </row>
    <row r="83" spans="9:26" ht="12.75">
      <c r="I83" s="2"/>
      <c r="Q83" s="237"/>
      <c r="R83" s="3"/>
      <c r="S83" s="3"/>
      <c r="T83" s="3"/>
      <c r="Y83" s="2"/>
      <c r="Z83" s="2"/>
    </row>
    <row r="84" spans="9:26" ht="12.75">
      <c r="I84" s="2"/>
      <c r="J84" s="2"/>
      <c r="M84" s="2"/>
      <c r="O84" s="2"/>
      <c r="P84" s="2"/>
      <c r="Q84" s="2"/>
      <c r="R84" s="3"/>
      <c r="S84" s="3"/>
      <c r="T84" s="3"/>
      <c r="Y84" s="50"/>
      <c r="Z84" s="50"/>
    </row>
    <row r="85" spans="9:26" ht="12.75">
      <c r="I85" s="31"/>
      <c r="J85" s="43"/>
      <c r="K85" s="31"/>
      <c r="L85" s="31"/>
      <c r="M85" s="31"/>
      <c r="N85" s="36"/>
      <c r="O85" s="36"/>
      <c r="P85" s="33"/>
      <c r="Q85" s="1"/>
      <c r="R85" s="3"/>
      <c r="S85" s="3"/>
      <c r="T85" s="3"/>
      <c r="Y85" s="50"/>
      <c r="Z85" s="50"/>
    </row>
    <row r="86" spans="9:26" ht="12.75">
      <c r="I86" s="31"/>
      <c r="J86" s="31"/>
      <c r="K86" s="31"/>
      <c r="L86" s="31"/>
      <c r="M86" s="31"/>
      <c r="N86" s="39"/>
      <c r="O86" s="31"/>
      <c r="P86" s="31"/>
      <c r="Q86" s="31"/>
      <c r="R86" s="3"/>
      <c r="S86" s="3"/>
      <c r="T86" s="3"/>
      <c r="Y86" s="51"/>
      <c r="Z86" s="51"/>
    </row>
    <row r="87" spans="9:26" ht="12.75">
      <c r="I87" s="11"/>
      <c r="J87" s="41"/>
      <c r="K87" s="34"/>
      <c r="L87" s="34"/>
      <c r="M87" s="34"/>
      <c r="N87" s="41"/>
      <c r="O87" s="34"/>
      <c r="P87" s="34"/>
      <c r="Q87" s="46"/>
      <c r="R87" s="3"/>
      <c r="S87" s="3"/>
      <c r="T87" s="3"/>
      <c r="Y87" s="52"/>
      <c r="Z87" s="52"/>
    </row>
    <row r="88" spans="9:27" ht="12.75">
      <c r="I88" s="11"/>
      <c r="J88" s="34"/>
      <c r="K88" s="34"/>
      <c r="L88" s="34"/>
      <c r="M88" s="34"/>
      <c r="N88" s="34"/>
      <c r="O88" s="34"/>
      <c r="P88" s="34"/>
      <c r="Q88" s="46"/>
      <c r="R88" s="3"/>
      <c r="S88" s="3"/>
      <c r="T88" s="3"/>
      <c r="Y88" s="34"/>
      <c r="Z88" s="34"/>
      <c r="AA88" s="115"/>
    </row>
    <row r="89" spans="9:27" ht="12.75">
      <c r="I89" s="11"/>
      <c r="J89" s="34"/>
      <c r="K89" s="34"/>
      <c r="L89" s="34"/>
      <c r="M89" s="34"/>
      <c r="N89" s="34"/>
      <c r="O89" s="34"/>
      <c r="P89" s="34"/>
      <c r="Q89" s="40"/>
      <c r="R89" s="3"/>
      <c r="S89" s="3"/>
      <c r="T89" s="3"/>
      <c r="Y89" s="34"/>
      <c r="Z89" s="34"/>
      <c r="AA89" s="115"/>
    </row>
    <row r="90" spans="9:27" ht="12.75">
      <c r="I90" s="34"/>
      <c r="J90" s="34"/>
      <c r="K90" s="34"/>
      <c r="L90" s="34"/>
      <c r="M90" s="34"/>
      <c r="N90" s="34"/>
      <c r="O90" s="34"/>
      <c r="P90" s="34"/>
      <c r="Q90" s="34"/>
      <c r="R90" s="3"/>
      <c r="S90" s="3"/>
      <c r="T90" s="3"/>
      <c r="Y90" s="35"/>
      <c r="Z90" s="35"/>
      <c r="AA90" s="115"/>
    </row>
    <row r="91" spans="9:27" ht="12.75">
      <c r="I91" s="35"/>
      <c r="J91" s="35"/>
      <c r="K91" s="35"/>
      <c r="L91" s="35"/>
      <c r="M91" s="35"/>
      <c r="N91" s="35"/>
      <c r="O91" s="35"/>
      <c r="P91" s="35"/>
      <c r="Q91" s="35"/>
      <c r="R91" s="3"/>
      <c r="S91" s="3"/>
      <c r="T91" s="3"/>
      <c r="Y91" s="35"/>
      <c r="Z91" s="35"/>
      <c r="AA91" s="115"/>
    </row>
    <row r="92" spans="9:27" ht="12.75">
      <c r="I92" s="35"/>
      <c r="J92" s="35"/>
      <c r="K92" s="35"/>
      <c r="L92" s="35"/>
      <c r="M92" s="35"/>
      <c r="N92" s="35"/>
      <c r="O92" s="35"/>
      <c r="P92" s="35"/>
      <c r="Q92" s="35"/>
      <c r="R92" s="3"/>
      <c r="S92" s="3"/>
      <c r="T92" s="3"/>
      <c r="Y92" s="3"/>
      <c r="Z92" s="3"/>
      <c r="AA92" s="115"/>
    </row>
    <row r="93" spans="9:27" ht="12.75">
      <c r="I93" s="3"/>
      <c r="J93" s="3"/>
      <c r="K93" s="3"/>
      <c r="L93" s="3"/>
      <c r="M93" s="3"/>
      <c r="N93" s="3"/>
      <c r="O93" s="3"/>
      <c r="P93" s="3"/>
      <c r="Q93" s="3"/>
      <c r="R93" s="3"/>
      <c r="S93" s="3"/>
      <c r="T93" s="3"/>
      <c r="Y93" s="3"/>
      <c r="Z93" s="3"/>
      <c r="AA93" s="115"/>
    </row>
    <row r="94" spans="9:26" ht="12.75">
      <c r="I94" s="3"/>
      <c r="J94" s="3"/>
      <c r="K94" s="3"/>
      <c r="L94" s="3"/>
      <c r="M94" s="3"/>
      <c r="N94" s="3"/>
      <c r="O94" s="3"/>
      <c r="P94" s="3"/>
      <c r="Q94" s="3"/>
      <c r="R94" s="3"/>
      <c r="S94" s="3"/>
      <c r="T94" s="3"/>
      <c r="Y94" s="3"/>
      <c r="Z94" s="3"/>
    </row>
    <row r="95" spans="9:26" ht="12.75">
      <c r="I95" s="3"/>
      <c r="J95" s="3"/>
      <c r="K95" s="3"/>
      <c r="L95" s="3"/>
      <c r="M95" s="3"/>
      <c r="N95" s="3"/>
      <c r="O95" s="3"/>
      <c r="P95" s="3"/>
      <c r="Q95" s="3"/>
      <c r="R95" s="3"/>
      <c r="S95" s="3"/>
      <c r="T95" s="3"/>
      <c r="Y95" s="3"/>
      <c r="Z95" s="3"/>
    </row>
    <row r="96" spans="9:26" ht="12.75">
      <c r="I96" s="3"/>
      <c r="J96" s="3"/>
      <c r="K96" s="3"/>
      <c r="L96" s="3"/>
      <c r="M96" s="3"/>
      <c r="N96" s="3"/>
      <c r="O96" s="3"/>
      <c r="P96" s="3"/>
      <c r="Q96" s="3"/>
      <c r="R96" s="3"/>
      <c r="S96" s="3"/>
      <c r="T96" s="3"/>
      <c r="Y96" s="3"/>
      <c r="Z96" s="3"/>
    </row>
    <row r="97" spans="9:20" ht="12.75">
      <c r="I97" s="3"/>
      <c r="J97" s="3"/>
      <c r="K97" s="3"/>
      <c r="L97" s="3"/>
      <c r="M97" s="3"/>
      <c r="N97" s="3"/>
      <c r="O97" s="3"/>
      <c r="P97" s="3"/>
      <c r="Q97" s="3"/>
      <c r="R97" s="3"/>
      <c r="S97" s="3"/>
      <c r="T97" s="3"/>
    </row>
  </sheetData>
  <mergeCells count="9">
    <mergeCell ref="C58:D58"/>
    <mergeCell ref="U10:V10"/>
    <mergeCell ref="U58:V58"/>
    <mergeCell ref="S8:V8"/>
    <mergeCell ref="S9:V9"/>
    <mergeCell ref="S57:V57"/>
    <mergeCell ref="C9:D9"/>
    <mergeCell ref="C10:D10"/>
    <mergeCell ref="C57:D57"/>
  </mergeCells>
  <conditionalFormatting sqref="A70 A49:B49 A40:B43 AA64:AC67 X49:Y49 X42:Y43 AA49:AC49 AA40:AC43 A55:A56">
    <cfRule type="cellIs" priority="1" dxfId="0" operator="equal" stopIfTrue="1">
      <formula>0</formula>
    </cfRule>
  </conditionalFormatting>
  <printOptions/>
  <pageMargins left="0.26" right="0.24" top="0.41" bottom="0.53" header="0.38" footer="0.36"/>
  <pageSetup horizontalDpi="600" verticalDpi="600" orientation="landscape" scale="55" r:id="rId2"/>
  <headerFooter alignWithMargins="0">
    <oddFooter>&amp;LCCI Supplementary Fiscal Q4/09 - May 20, 2009&amp;CPage 2</oddFooter>
  </headerFooter>
  <ignoredErrors>
    <ignoredError sqref="E64:E67 W64:X67 D65:D67" evalError="1"/>
  </ignoredErrors>
  <drawing r:id="rId1"/>
</worksheet>
</file>

<file path=xl/worksheets/sheet5.xml><?xml version="1.0" encoding="utf-8"?>
<worksheet xmlns="http://schemas.openxmlformats.org/spreadsheetml/2006/main" xmlns:r="http://schemas.openxmlformats.org/officeDocument/2006/relationships">
  <dimension ref="A5:AK86"/>
  <sheetViews>
    <sheetView zoomScale="75" zoomScaleNormal="75" workbookViewId="0" topLeftCell="A1">
      <pane ySplit="10" topLeftCell="BM26" activePane="bottomLeft" state="frozen"/>
      <selection pane="topLeft" activeCell="B36" sqref="B36:L37"/>
      <selection pane="bottomLeft" activeCell="B36" sqref="B36:L37"/>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7109375" style="3" customWidth="1"/>
    <col min="9" max="14" width="9.7109375" style="0" customWidth="1"/>
    <col min="15" max="17" width="9.7109375" style="0" hidden="1" customWidth="1"/>
    <col min="18" max="18" width="1.57421875" style="0" customWidth="1"/>
    <col min="19" max="20" width="9.7109375" style="0" hidden="1" customWidth="1"/>
    <col min="21" max="22" width="9.7109375" style="0" customWidth="1"/>
    <col min="23" max="23" width="1.57421875" style="0" customWidth="1"/>
    <col min="24" max="28" width="9.7109375" style="0" customWidth="1"/>
    <col min="29" max="29" width="9.7109375" style="0" hidden="1" customWidth="1"/>
    <col min="30" max="30" width="1.57421875" style="0" customWidth="1"/>
  </cols>
  <sheetData>
    <row r="1" ht="12.75"/>
    <row r="2" ht="12.75"/>
    <row r="3" ht="12.75"/>
    <row r="4" ht="12.75"/>
    <row r="5" spans="1:11" ht="12.75">
      <c r="A5" s="3"/>
      <c r="B5" s="3"/>
      <c r="C5" s="3"/>
      <c r="D5" s="3"/>
      <c r="I5" s="3"/>
      <c r="J5" s="3"/>
      <c r="K5" s="3"/>
    </row>
    <row r="6" spans="1:11" ht="18" customHeight="1">
      <c r="A6" s="146" t="s">
        <v>183</v>
      </c>
      <c r="B6" s="3"/>
      <c r="C6" s="3"/>
      <c r="D6" s="3"/>
      <c r="I6" s="3"/>
      <c r="J6" s="3"/>
      <c r="K6" s="3"/>
    </row>
    <row r="7" spans="1:11" ht="18" customHeight="1">
      <c r="A7" s="146" t="s">
        <v>239</v>
      </c>
      <c r="B7" s="5"/>
      <c r="C7" s="5"/>
      <c r="D7" s="5"/>
      <c r="E7" s="5"/>
      <c r="F7" s="5"/>
      <c r="G7" s="5"/>
      <c r="H7" s="5"/>
      <c r="I7" s="3"/>
      <c r="J7" s="3"/>
      <c r="K7" s="3"/>
    </row>
    <row r="8" spans="1:22" ht="9.75" customHeight="1">
      <c r="A8" s="2"/>
      <c r="B8" s="2"/>
      <c r="C8" s="2"/>
      <c r="D8" s="2"/>
      <c r="E8" s="2"/>
      <c r="F8" s="563"/>
      <c r="G8" s="2"/>
      <c r="H8" s="2"/>
      <c r="I8" s="3"/>
      <c r="J8" s="3"/>
      <c r="K8" s="3"/>
      <c r="S8" s="639"/>
      <c r="T8" s="639"/>
      <c r="U8" s="639"/>
      <c r="V8" s="639"/>
    </row>
    <row r="9" spans="1:29" ht="12.75">
      <c r="A9" s="6" t="s">
        <v>1</v>
      </c>
      <c r="B9" s="7"/>
      <c r="C9" s="611" t="s">
        <v>286</v>
      </c>
      <c r="D9" s="629"/>
      <c r="E9" s="15"/>
      <c r="F9" s="25"/>
      <c r="G9" s="18"/>
      <c r="H9" s="18"/>
      <c r="I9" s="19"/>
      <c r="J9" s="18"/>
      <c r="K9" s="18"/>
      <c r="L9" s="18"/>
      <c r="M9" s="18"/>
      <c r="N9" s="17"/>
      <c r="O9" s="19"/>
      <c r="P9" s="19"/>
      <c r="Q9" s="19"/>
      <c r="R9" s="24"/>
      <c r="S9" s="611" t="s">
        <v>285</v>
      </c>
      <c r="T9" s="602"/>
      <c r="U9" s="602"/>
      <c r="V9" s="603"/>
      <c r="W9" s="15"/>
      <c r="X9" s="98"/>
      <c r="Y9" s="17"/>
      <c r="Z9" s="22"/>
      <c r="AA9" s="98"/>
      <c r="AB9" s="363"/>
      <c r="AC9" s="363"/>
    </row>
    <row r="10" spans="1:37" ht="13.5">
      <c r="A10" s="6" t="s">
        <v>2</v>
      </c>
      <c r="B10" s="7"/>
      <c r="C10" s="630" t="s">
        <v>51</v>
      </c>
      <c r="D10" s="631"/>
      <c r="E10" s="16"/>
      <c r="F10" s="20" t="s">
        <v>166</v>
      </c>
      <c r="G10" s="21" t="s">
        <v>167</v>
      </c>
      <c r="H10" s="21" t="s">
        <v>168</v>
      </c>
      <c r="I10" s="14" t="s">
        <v>42</v>
      </c>
      <c r="J10" s="21" t="s">
        <v>43</v>
      </c>
      <c r="K10" s="21" t="s">
        <v>44</v>
      </c>
      <c r="L10" s="21" t="s">
        <v>45</v>
      </c>
      <c r="M10" s="21" t="s">
        <v>46</v>
      </c>
      <c r="N10" s="20" t="s">
        <v>47</v>
      </c>
      <c r="O10" s="14" t="s">
        <v>48</v>
      </c>
      <c r="P10" s="14" t="s">
        <v>49</v>
      </c>
      <c r="Q10" s="14" t="s">
        <v>50</v>
      </c>
      <c r="R10" s="345"/>
      <c r="S10" s="318" t="s">
        <v>55</v>
      </c>
      <c r="T10" s="15" t="s">
        <v>52</v>
      </c>
      <c r="U10" s="607" t="s">
        <v>51</v>
      </c>
      <c r="V10" s="608"/>
      <c r="W10" s="16"/>
      <c r="X10" s="20" t="s">
        <v>55</v>
      </c>
      <c r="Y10" s="20" t="s">
        <v>52</v>
      </c>
      <c r="Z10" s="23" t="s">
        <v>53</v>
      </c>
      <c r="AA10" s="23" t="s">
        <v>242</v>
      </c>
      <c r="AB10" s="23" t="s">
        <v>243</v>
      </c>
      <c r="AC10" s="23" t="s">
        <v>249</v>
      </c>
      <c r="AD10" s="3"/>
      <c r="AE10" s="3"/>
      <c r="AF10" s="3"/>
      <c r="AG10" s="3"/>
      <c r="AH10" s="3"/>
      <c r="AI10" s="3"/>
      <c r="AJ10" s="3"/>
      <c r="AK10" s="3"/>
    </row>
    <row r="11" spans="1:35" ht="12.75" customHeight="1">
      <c r="A11" s="227" t="s">
        <v>136</v>
      </c>
      <c r="B11" s="8"/>
      <c r="C11" s="249"/>
      <c r="D11" s="250"/>
      <c r="E11" s="233"/>
      <c r="F11" s="249"/>
      <c r="G11" s="233"/>
      <c r="H11" s="233"/>
      <c r="I11" s="251"/>
      <c r="J11" s="281"/>
      <c r="K11" s="233"/>
      <c r="L11" s="233"/>
      <c r="M11" s="251"/>
      <c r="N11" s="249"/>
      <c r="O11" s="251"/>
      <c r="P11" s="251"/>
      <c r="Q11" s="251"/>
      <c r="R11" s="99"/>
      <c r="S11" s="282"/>
      <c r="T11" s="281"/>
      <c r="U11" s="281"/>
      <c r="V11" s="250"/>
      <c r="W11" s="92"/>
      <c r="X11" s="99"/>
      <c r="Y11" s="249"/>
      <c r="Z11" s="99"/>
      <c r="AA11" s="376"/>
      <c r="AB11" s="376"/>
      <c r="AC11" s="376"/>
      <c r="AD11" s="3"/>
      <c r="AE11" s="3"/>
      <c r="AF11" s="3"/>
      <c r="AG11" s="3"/>
      <c r="AH11" s="3"/>
      <c r="AI11" s="3"/>
    </row>
    <row r="12" spans="1:35" ht="12.75" customHeight="1">
      <c r="A12" s="7"/>
      <c r="B12" s="251" t="s">
        <v>169</v>
      </c>
      <c r="C12" s="37"/>
      <c r="D12" s="29"/>
      <c r="E12" s="40"/>
      <c r="F12" s="496"/>
      <c r="G12" s="40"/>
      <c r="H12" s="40"/>
      <c r="I12" s="302"/>
      <c r="J12" s="299"/>
      <c r="K12" s="252"/>
      <c r="L12" s="252"/>
      <c r="M12" s="253"/>
      <c r="N12" s="261"/>
      <c r="O12" s="253"/>
      <c r="P12" s="253"/>
      <c r="Q12" s="253"/>
      <c r="R12" s="99"/>
      <c r="S12" s="317"/>
      <c r="T12" s="400"/>
      <c r="U12" s="30"/>
      <c r="V12" s="29"/>
      <c r="W12" s="92"/>
      <c r="X12" s="287"/>
      <c r="Y12" s="287"/>
      <c r="Z12" s="287"/>
      <c r="AA12" s="377"/>
      <c r="AB12" s="377"/>
      <c r="AC12" s="377"/>
      <c r="AD12" s="3"/>
      <c r="AE12" s="3"/>
      <c r="AF12" s="3"/>
      <c r="AG12" s="3"/>
      <c r="AH12" s="3"/>
      <c r="AI12" s="3"/>
    </row>
    <row r="13" spans="1:35" ht="12.75" customHeight="1">
      <c r="A13" s="7"/>
      <c r="B13" s="286" t="s">
        <v>170</v>
      </c>
      <c r="C13" s="37">
        <f>F13-J13</f>
        <v>-6911</v>
      </c>
      <c r="D13" s="29">
        <f>C13/J13</f>
        <v>-0.2163473578762835</v>
      </c>
      <c r="E13" s="40"/>
      <c r="F13" s="575">
        <v>25033</v>
      </c>
      <c r="G13" s="529">
        <f>13529-890</f>
        <v>12639</v>
      </c>
      <c r="H13" s="529">
        <v>23461</v>
      </c>
      <c r="I13" s="302">
        <v>34352</v>
      </c>
      <c r="J13" s="298">
        <v>31944</v>
      </c>
      <c r="K13" s="298">
        <v>42952</v>
      </c>
      <c r="L13" s="298">
        <v>39210</v>
      </c>
      <c r="M13" s="298">
        <v>62549</v>
      </c>
      <c r="N13" s="260">
        <v>57382</v>
      </c>
      <c r="O13" s="302">
        <v>48897</v>
      </c>
      <c r="P13" s="302">
        <v>38533</v>
      </c>
      <c r="Q13" s="302">
        <v>42750</v>
      </c>
      <c r="R13" s="99"/>
      <c r="S13" s="317">
        <f>X13</f>
        <v>95485</v>
      </c>
      <c r="T13" s="400">
        <f>Y13</f>
        <v>176655</v>
      </c>
      <c r="U13" s="30">
        <f>S13-T13</f>
        <v>-81170</v>
      </c>
      <c r="V13" s="29">
        <f>U13/T13</f>
        <v>-0.4594831734171125</v>
      </c>
      <c r="W13" s="92"/>
      <c r="X13" s="287">
        <f>F13+G13+H13+I13</f>
        <v>95485</v>
      </c>
      <c r="Y13" s="287">
        <v>176655</v>
      </c>
      <c r="Z13" s="287">
        <v>187562</v>
      </c>
      <c r="AA13" s="42">
        <v>150470</v>
      </c>
      <c r="AB13" s="42">
        <v>95559</v>
      </c>
      <c r="AC13" s="42">
        <v>88821</v>
      </c>
      <c r="AD13" s="3"/>
      <c r="AF13" s="3"/>
      <c r="AG13" s="3"/>
      <c r="AH13" s="3"/>
      <c r="AI13" s="3"/>
    </row>
    <row r="14" spans="1:35" ht="12.75" customHeight="1">
      <c r="A14" s="7"/>
      <c r="B14" s="286" t="s">
        <v>171</v>
      </c>
      <c r="C14" s="37">
        <f aca="true" t="shared" si="0" ref="C14:C19">F14-J14</f>
        <v>-1209</v>
      </c>
      <c r="D14" s="29">
        <f aca="true" t="shared" si="1" ref="D14:D19">C14/J14</f>
        <v>-0.2997025285076847</v>
      </c>
      <c r="E14" s="40"/>
      <c r="F14" s="575">
        <v>2825</v>
      </c>
      <c r="G14" s="529">
        <v>3975</v>
      </c>
      <c r="H14" s="529">
        <v>3439</v>
      </c>
      <c r="I14" s="302">
        <v>4365</v>
      </c>
      <c r="J14" s="298">
        <v>4034</v>
      </c>
      <c r="K14" s="298">
        <v>4912</v>
      </c>
      <c r="L14" s="298">
        <v>4789</v>
      </c>
      <c r="M14" s="298">
        <v>5987</v>
      </c>
      <c r="N14" s="260">
        <v>6777</v>
      </c>
      <c r="O14" s="302">
        <v>5923</v>
      </c>
      <c r="P14" s="302">
        <v>4091</v>
      </c>
      <c r="Q14" s="302">
        <v>7386</v>
      </c>
      <c r="R14" s="99"/>
      <c r="S14" s="317">
        <f aca="true" t="shared" si="2" ref="S14:S20">X14</f>
        <v>14604</v>
      </c>
      <c r="T14" s="400">
        <f aca="true" t="shared" si="3" ref="T14:T20">Y14</f>
        <v>19722</v>
      </c>
      <c r="U14" s="30">
        <f aca="true" t="shared" si="4" ref="U14:U46">S14-T14</f>
        <v>-5118</v>
      </c>
      <c r="V14" s="29">
        <f aca="true" t="shared" si="5" ref="V14:V46">U14/T14</f>
        <v>-0.259507149376331</v>
      </c>
      <c r="W14" s="92"/>
      <c r="X14" s="287">
        <f>F14+G14+H14+I14</f>
        <v>14604</v>
      </c>
      <c r="Y14" s="287">
        <v>19722</v>
      </c>
      <c r="Z14" s="287">
        <v>24177</v>
      </c>
      <c r="AA14" s="42">
        <v>20940</v>
      </c>
      <c r="AB14" s="42">
        <v>15452</v>
      </c>
      <c r="AC14" s="42">
        <v>16800</v>
      </c>
      <c r="AD14" s="3"/>
      <c r="AF14" s="3"/>
      <c r="AG14" s="3"/>
      <c r="AH14" s="3"/>
      <c r="AI14" s="3"/>
    </row>
    <row r="15" spans="1:35" ht="12.75" customHeight="1">
      <c r="A15" s="7"/>
      <c r="B15" s="286" t="s">
        <v>172</v>
      </c>
      <c r="C15" s="37">
        <f t="shared" si="0"/>
        <v>64</v>
      </c>
      <c r="D15" s="29">
        <f t="shared" si="1"/>
        <v>0.037361354349095155</v>
      </c>
      <c r="E15" s="40"/>
      <c r="F15" s="575">
        <v>1777</v>
      </c>
      <c r="G15" s="529">
        <v>2298</v>
      </c>
      <c r="H15" s="529">
        <v>635</v>
      </c>
      <c r="I15" s="302">
        <v>1615</v>
      </c>
      <c r="J15" s="298">
        <v>1713</v>
      </c>
      <c r="K15" s="298">
        <v>1715</v>
      </c>
      <c r="L15" s="298">
        <v>2210</v>
      </c>
      <c r="M15" s="298">
        <v>1730</v>
      </c>
      <c r="N15" s="260">
        <v>2607</v>
      </c>
      <c r="O15" s="302">
        <v>2366</v>
      </c>
      <c r="P15" s="302">
        <v>1281</v>
      </c>
      <c r="Q15" s="302">
        <v>1624</v>
      </c>
      <c r="R15" s="99"/>
      <c r="S15" s="317">
        <f t="shared" si="2"/>
        <v>6325</v>
      </c>
      <c r="T15" s="400">
        <f t="shared" si="3"/>
        <v>7368</v>
      </c>
      <c r="U15" s="30">
        <f t="shared" si="4"/>
        <v>-1043</v>
      </c>
      <c r="V15" s="29">
        <f t="shared" si="5"/>
        <v>-0.14155808903365907</v>
      </c>
      <c r="W15" s="92"/>
      <c r="X15" s="287">
        <f>F15+G15+H15+I15</f>
        <v>6325</v>
      </c>
      <c r="Y15" s="287">
        <v>7368</v>
      </c>
      <c r="Z15" s="287">
        <v>7878</v>
      </c>
      <c r="AA15" s="42">
        <v>9124</v>
      </c>
      <c r="AB15" s="42">
        <v>4275</v>
      </c>
      <c r="AC15" s="42">
        <v>11493</v>
      </c>
      <c r="AD15" s="3"/>
      <c r="AF15" s="3"/>
      <c r="AG15" s="3"/>
      <c r="AH15" s="3"/>
      <c r="AI15" s="3"/>
    </row>
    <row r="16" spans="1:35" ht="12.75" customHeight="1">
      <c r="A16" s="7"/>
      <c r="B16" s="286" t="s">
        <v>173</v>
      </c>
      <c r="C16" s="537">
        <f t="shared" si="0"/>
        <v>-401</v>
      </c>
      <c r="D16" s="234">
        <f t="shared" si="1"/>
        <v>-0.19637610186092067</v>
      </c>
      <c r="E16" s="40"/>
      <c r="F16" s="575">
        <v>1641</v>
      </c>
      <c r="G16" s="529">
        <v>1517</v>
      </c>
      <c r="H16" s="529">
        <v>1575</v>
      </c>
      <c r="I16" s="302">
        <v>1703</v>
      </c>
      <c r="J16" s="304">
        <v>2042</v>
      </c>
      <c r="K16" s="304">
        <v>2499</v>
      </c>
      <c r="L16" s="304">
        <v>2178</v>
      </c>
      <c r="M16" s="304">
        <v>2121</v>
      </c>
      <c r="N16" s="297">
        <v>1715</v>
      </c>
      <c r="O16" s="305">
        <v>1595</v>
      </c>
      <c r="P16" s="305">
        <v>2568</v>
      </c>
      <c r="Q16" s="305">
        <v>1829</v>
      </c>
      <c r="R16" s="99"/>
      <c r="S16" s="315">
        <f t="shared" si="2"/>
        <v>6436</v>
      </c>
      <c r="T16" s="412">
        <f t="shared" si="3"/>
        <v>8840</v>
      </c>
      <c r="U16" s="243">
        <f t="shared" si="4"/>
        <v>-2404</v>
      </c>
      <c r="V16" s="234">
        <f t="shared" si="5"/>
        <v>-0.27194570135746604</v>
      </c>
      <c r="W16" s="92"/>
      <c r="X16" s="293">
        <f>F16+G16+H16+I16</f>
        <v>6436</v>
      </c>
      <c r="Y16" s="293">
        <v>8840</v>
      </c>
      <c r="Z16" s="293">
        <v>7707</v>
      </c>
      <c r="AA16" s="42">
        <v>8540</v>
      </c>
      <c r="AB16" s="42">
        <v>8278</v>
      </c>
      <c r="AC16" s="42">
        <v>10155</v>
      </c>
      <c r="AD16" s="3"/>
      <c r="AF16" s="3"/>
      <c r="AG16" s="3"/>
      <c r="AH16" s="3"/>
      <c r="AI16" s="3"/>
    </row>
    <row r="17" spans="1:35" ht="12.75" customHeight="1">
      <c r="A17" s="7"/>
      <c r="B17" s="286" t="s">
        <v>174</v>
      </c>
      <c r="C17" s="37">
        <f t="shared" si="0"/>
        <v>-8457</v>
      </c>
      <c r="D17" s="29">
        <f t="shared" si="1"/>
        <v>-0.21284574535021267</v>
      </c>
      <c r="E17" s="40"/>
      <c r="F17" s="310">
        <f>SUM(F13:F16)</f>
        <v>31276</v>
      </c>
      <c r="G17" s="420">
        <f>SUM(G13:G16)</f>
        <v>20429</v>
      </c>
      <c r="H17" s="420">
        <f>SUM(H13:H16)</f>
        <v>29110</v>
      </c>
      <c r="I17" s="311">
        <v>42035</v>
      </c>
      <c r="J17" s="298">
        <v>39733</v>
      </c>
      <c r="K17" s="298">
        <v>52078</v>
      </c>
      <c r="L17" s="298">
        <v>48387</v>
      </c>
      <c r="M17" s="298">
        <v>72387</v>
      </c>
      <c r="N17" s="260">
        <v>68481</v>
      </c>
      <c r="O17" s="302">
        <v>58781</v>
      </c>
      <c r="P17" s="302">
        <v>46473</v>
      </c>
      <c r="Q17" s="302">
        <v>53589</v>
      </c>
      <c r="R17" s="99"/>
      <c r="S17" s="317">
        <f t="shared" si="2"/>
        <v>122850</v>
      </c>
      <c r="T17" s="400">
        <f t="shared" si="3"/>
        <v>212585</v>
      </c>
      <c r="U17" s="30">
        <f t="shared" si="4"/>
        <v>-89735</v>
      </c>
      <c r="V17" s="29">
        <f t="shared" si="5"/>
        <v>-0.4221135075381612</v>
      </c>
      <c r="W17" s="92"/>
      <c r="X17" s="287">
        <f>X13+X14+X15+X16</f>
        <v>122850</v>
      </c>
      <c r="Y17" s="287">
        <v>212585</v>
      </c>
      <c r="Z17" s="287">
        <v>227324</v>
      </c>
      <c r="AA17" s="374">
        <v>189074</v>
      </c>
      <c r="AB17" s="374">
        <v>123564</v>
      </c>
      <c r="AC17" s="374">
        <v>127269</v>
      </c>
      <c r="AD17" s="3"/>
      <c r="AF17" s="3"/>
      <c r="AG17" s="3"/>
      <c r="AH17" s="3"/>
      <c r="AI17" s="3"/>
    </row>
    <row r="18" spans="1:35" ht="12.75" customHeight="1">
      <c r="A18" s="7"/>
      <c r="B18" s="251" t="s">
        <v>175</v>
      </c>
      <c r="C18" s="37">
        <f t="shared" si="0"/>
        <v>2060</v>
      </c>
      <c r="D18" s="29">
        <f t="shared" si="1"/>
        <v>0.13788487282463185</v>
      </c>
      <c r="E18" s="40"/>
      <c r="F18" s="575">
        <v>17000</v>
      </c>
      <c r="G18" s="529">
        <v>12748</v>
      </c>
      <c r="H18" s="529">
        <v>11770</v>
      </c>
      <c r="I18" s="302">
        <v>38189</v>
      </c>
      <c r="J18" s="298">
        <v>14940</v>
      </c>
      <c r="K18" s="298">
        <v>35117</v>
      </c>
      <c r="L18" s="298">
        <v>20857</v>
      </c>
      <c r="M18" s="298">
        <v>57355</v>
      </c>
      <c r="N18" s="260">
        <v>42984</v>
      </c>
      <c r="O18" s="302">
        <v>24995</v>
      </c>
      <c r="P18" s="302">
        <v>28878</v>
      </c>
      <c r="Q18" s="302">
        <v>48892</v>
      </c>
      <c r="R18" s="99"/>
      <c r="S18" s="317">
        <f t="shared" si="2"/>
        <v>79707</v>
      </c>
      <c r="T18" s="400">
        <f t="shared" si="3"/>
        <v>128269</v>
      </c>
      <c r="U18" s="30">
        <f t="shared" si="4"/>
        <v>-48562</v>
      </c>
      <c r="V18" s="29">
        <f t="shared" si="5"/>
        <v>-0.37859498397898167</v>
      </c>
      <c r="W18" s="92"/>
      <c r="X18" s="287">
        <f>F18+G18+H18+I18</f>
        <v>79707</v>
      </c>
      <c r="Y18" s="287">
        <v>128269</v>
      </c>
      <c r="Z18" s="287">
        <v>145749</v>
      </c>
      <c r="AA18" s="42">
        <v>125900</v>
      </c>
      <c r="AB18" s="42">
        <v>116090</v>
      </c>
      <c r="AC18" s="42">
        <v>84489</v>
      </c>
      <c r="AD18" s="3"/>
      <c r="AF18" s="3"/>
      <c r="AG18" s="3"/>
      <c r="AH18" s="3"/>
      <c r="AI18" s="3"/>
    </row>
    <row r="19" spans="1:35" ht="12.75" customHeight="1">
      <c r="A19" s="7"/>
      <c r="B19" s="251" t="s">
        <v>268</v>
      </c>
      <c r="C19" s="37">
        <f t="shared" si="0"/>
        <v>-6596</v>
      </c>
      <c r="D19" s="29">
        <f t="shared" si="1"/>
        <v>-0.2831873604671132</v>
      </c>
      <c r="E19" s="40"/>
      <c r="F19" s="587">
        <v>16696</v>
      </c>
      <c r="G19" s="544">
        <v>16073</v>
      </c>
      <c r="H19" s="544">
        <v>17456</v>
      </c>
      <c r="I19" s="305">
        <v>24569</v>
      </c>
      <c r="J19" s="298">
        <v>23292</v>
      </c>
      <c r="K19" s="298">
        <v>22388</v>
      </c>
      <c r="L19" s="298">
        <v>19827</v>
      </c>
      <c r="M19" s="298">
        <v>25281</v>
      </c>
      <c r="N19" s="260">
        <v>18686</v>
      </c>
      <c r="O19" s="302">
        <v>17651</v>
      </c>
      <c r="P19" s="302">
        <v>17682</v>
      </c>
      <c r="Q19" s="302">
        <v>22625</v>
      </c>
      <c r="R19" s="99"/>
      <c r="S19" s="317">
        <f t="shared" si="2"/>
        <v>74794</v>
      </c>
      <c r="T19" s="400">
        <f t="shared" si="3"/>
        <v>90788</v>
      </c>
      <c r="U19" s="30">
        <f t="shared" si="4"/>
        <v>-15994</v>
      </c>
      <c r="V19" s="29">
        <f t="shared" si="5"/>
        <v>-0.17616865665065867</v>
      </c>
      <c r="W19" s="92"/>
      <c r="X19" s="287">
        <f>F19+G19+H19+I19</f>
        <v>74794</v>
      </c>
      <c r="Y19" s="287">
        <v>90788</v>
      </c>
      <c r="Z19" s="287">
        <v>76644</v>
      </c>
      <c r="AA19" s="42">
        <v>18692</v>
      </c>
      <c r="AB19" s="42">
        <v>0</v>
      </c>
      <c r="AC19" s="42">
        <v>0</v>
      </c>
      <c r="AD19" s="3"/>
      <c r="AF19" s="3"/>
      <c r="AG19" s="3"/>
      <c r="AH19" s="3"/>
      <c r="AI19" s="3"/>
    </row>
    <row r="20" spans="1:35" ht="12.75" customHeight="1">
      <c r="A20" s="8"/>
      <c r="B20" s="7"/>
      <c r="C20" s="254">
        <f>F20-J20</f>
        <v>-12993</v>
      </c>
      <c r="D20" s="255">
        <f>C20/J20</f>
        <v>-0.1666517026871032</v>
      </c>
      <c r="E20" s="40"/>
      <c r="F20" s="260">
        <f>F17+F18+F19</f>
        <v>64972</v>
      </c>
      <c r="G20" s="298">
        <f>G17+G18+G19</f>
        <v>49250</v>
      </c>
      <c r="H20" s="298">
        <v>58336</v>
      </c>
      <c r="I20" s="302">
        <v>104793</v>
      </c>
      <c r="J20" s="306">
        <v>77965</v>
      </c>
      <c r="K20" s="306">
        <v>109583</v>
      </c>
      <c r="L20" s="306">
        <v>89071</v>
      </c>
      <c r="M20" s="306">
        <v>155023</v>
      </c>
      <c r="N20" s="264">
        <v>130151</v>
      </c>
      <c r="O20" s="307">
        <v>101427</v>
      </c>
      <c r="P20" s="307">
        <v>93033</v>
      </c>
      <c r="Q20" s="307">
        <v>125106</v>
      </c>
      <c r="R20" s="99"/>
      <c r="S20" s="402">
        <f t="shared" si="2"/>
        <v>277351</v>
      </c>
      <c r="T20" s="403">
        <f t="shared" si="3"/>
        <v>431642</v>
      </c>
      <c r="U20" s="413">
        <f t="shared" si="4"/>
        <v>-154291</v>
      </c>
      <c r="V20" s="255">
        <f t="shared" si="5"/>
        <v>-0.3574513138202492</v>
      </c>
      <c r="W20" s="92"/>
      <c r="X20" s="288">
        <f>X17+X18+X19</f>
        <v>277351</v>
      </c>
      <c r="Y20" s="288">
        <v>431642</v>
      </c>
      <c r="Z20" s="288">
        <v>449717</v>
      </c>
      <c r="AA20" s="369">
        <v>333666</v>
      </c>
      <c r="AB20" s="369">
        <v>239654</v>
      </c>
      <c r="AC20" s="369">
        <v>211758</v>
      </c>
      <c r="AD20" s="3"/>
      <c r="AF20" s="3"/>
      <c r="AG20" s="3"/>
      <c r="AH20" s="3"/>
      <c r="AI20" s="3"/>
    </row>
    <row r="21" spans="1:35" ht="12.75" customHeight="1">
      <c r="A21" s="227" t="s">
        <v>5</v>
      </c>
      <c r="B21" s="7"/>
      <c r="C21" s="37"/>
      <c r="D21" s="29"/>
      <c r="E21" s="40"/>
      <c r="F21" s="588"/>
      <c r="G21" s="545"/>
      <c r="H21" s="545"/>
      <c r="I21" s="311"/>
      <c r="J21" s="298"/>
      <c r="K21" s="298"/>
      <c r="L21" s="298"/>
      <c r="M21" s="298"/>
      <c r="N21" s="260"/>
      <c r="O21" s="302"/>
      <c r="P21" s="302"/>
      <c r="Q21" s="302"/>
      <c r="R21" s="99"/>
      <c r="S21" s="317"/>
      <c r="T21" s="400"/>
      <c r="U21" s="30"/>
      <c r="V21" s="29"/>
      <c r="W21" s="92"/>
      <c r="X21" s="289"/>
      <c r="Y21" s="287"/>
      <c r="Z21" s="287"/>
      <c r="AA21" s="42"/>
      <c r="AB21" s="42"/>
      <c r="AC21" s="42"/>
      <c r="AD21" s="3"/>
      <c r="AF21" s="3"/>
      <c r="AG21" s="3"/>
      <c r="AH21" s="3"/>
      <c r="AI21" s="3"/>
    </row>
    <row r="22" spans="1:35" ht="12.75" customHeight="1">
      <c r="A22" s="8"/>
      <c r="B22" s="251" t="s">
        <v>176</v>
      </c>
      <c r="C22" s="37">
        <f aca="true" t="shared" si="6" ref="C22:C37">F22-J22</f>
        <v>-10185</v>
      </c>
      <c r="D22" s="29">
        <f aca="true" t="shared" si="7" ref="D22:D37">C22/J22</f>
        <v>-0.25213516524322316</v>
      </c>
      <c r="E22" s="40"/>
      <c r="F22" s="575">
        <v>30210</v>
      </c>
      <c r="G22" s="529">
        <v>28857</v>
      </c>
      <c r="H22" s="529">
        <v>29998</v>
      </c>
      <c r="I22" s="302">
        <v>52529</v>
      </c>
      <c r="J22" s="298">
        <v>40395</v>
      </c>
      <c r="K22" s="298">
        <v>57933</v>
      </c>
      <c r="L22" s="298">
        <v>42205</v>
      </c>
      <c r="M22" s="298">
        <v>76203</v>
      </c>
      <c r="N22" s="260">
        <v>70783</v>
      </c>
      <c r="O22" s="302">
        <v>51546</v>
      </c>
      <c r="P22" s="302">
        <v>45305</v>
      </c>
      <c r="Q22" s="302">
        <v>65948</v>
      </c>
      <c r="R22" s="99"/>
      <c r="S22" s="317">
        <f aca="true" t="shared" si="8" ref="S22:S37">X22</f>
        <v>141594</v>
      </c>
      <c r="T22" s="400">
        <f aca="true" t="shared" si="9" ref="T22:T37">Y22</f>
        <v>216736</v>
      </c>
      <c r="U22" s="30">
        <f t="shared" si="4"/>
        <v>-75142</v>
      </c>
      <c r="V22" s="29">
        <f t="shared" si="5"/>
        <v>-0.34669828731728924</v>
      </c>
      <c r="W22" s="92"/>
      <c r="X22" s="287">
        <f aca="true" t="shared" si="10" ref="X22:X35">F22+G22+H22+I22</f>
        <v>141594</v>
      </c>
      <c r="Y22" s="287">
        <v>216736</v>
      </c>
      <c r="Z22" s="287">
        <v>233582</v>
      </c>
      <c r="AA22" s="42">
        <v>175604</v>
      </c>
      <c r="AB22" s="42">
        <v>125030</v>
      </c>
      <c r="AC22" s="42">
        <v>120298</v>
      </c>
      <c r="AD22" s="3"/>
      <c r="AF22" s="3"/>
      <c r="AG22" s="3"/>
      <c r="AH22" s="3"/>
      <c r="AI22" s="3"/>
    </row>
    <row r="23" spans="1:35" ht="12.75" customHeight="1">
      <c r="A23" s="8"/>
      <c r="B23" s="251" t="s">
        <v>142</v>
      </c>
      <c r="C23" s="37">
        <f t="shared" si="6"/>
        <v>207</v>
      </c>
      <c r="D23" s="29">
        <f t="shared" si="7"/>
        <v>0.06261343012704174</v>
      </c>
      <c r="E23" s="40"/>
      <c r="F23" s="575">
        <v>3513</v>
      </c>
      <c r="G23" s="529">
        <v>3413</v>
      </c>
      <c r="H23" s="529">
        <v>3919</v>
      </c>
      <c r="I23" s="302">
        <v>4223</v>
      </c>
      <c r="J23" s="298">
        <v>3306</v>
      </c>
      <c r="K23" s="298">
        <v>3275</v>
      </c>
      <c r="L23" s="298">
        <v>3194</v>
      </c>
      <c r="M23" s="298">
        <v>4019</v>
      </c>
      <c r="N23" s="260">
        <v>2619</v>
      </c>
      <c r="O23" s="302">
        <v>3158</v>
      </c>
      <c r="P23" s="302">
        <v>2228</v>
      </c>
      <c r="Q23" s="302">
        <v>3188</v>
      </c>
      <c r="R23" s="99"/>
      <c r="S23" s="317">
        <f t="shared" si="8"/>
        <v>15068</v>
      </c>
      <c r="T23" s="400">
        <f t="shared" si="9"/>
        <v>13794</v>
      </c>
      <c r="U23" s="30">
        <f t="shared" si="4"/>
        <v>1274</v>
      </c>
      <c r="V23" s="29">
        <f t="shared" si="5"/>
        <v>0.09235899666521676</v>
      </c>
      <c r="W23" s="92"/>
      <c r="X23" s="287">
        <f t="shared" si="10"/>
        <v>15068</v>
      </c>
      <c r="Y23" s="287">
        <v>13794</v>
      </c>
      <c r="Z23" s="287">
        <v>11193</v>
      </c>
      <c r="AA23" s="42">
        <v>8435</v>
      </c>
      <c r="AB23" s="42">
        <v>16577</v>
      </c>
      <c r="AC23" s="42">
        <v>12517</v>
      </c>
      <c r="AD23" s="3"/>
      <c r="AF23" s="3"/>
      <c r="AG23" s="3"/>
      <c r="AH23" s="3"/>
      <c r="AI23" s="3"/>
    </row>
    <row r="24" spans="1:35" ht="12.75" customHeight="1">
      <c r="A24" s="8"/>
      <c r="B24" s="251" t="s">
        <v>177</v>
      </c>
      <c r="C24" s="37">
        <f t="shared" si="6"/>
        <v>591</v>
      </c>
      <c r="D24" s="29">
        <f t="shared" si="7"/>
        <v>0.14675937422398808</v>
      </c>
      <c r="E24" s="40"/>
      <c r="F24" s="575">
        <v>4618</v>
      </c>
      <c r="G24" s="529">
        <v>4587</v>
      </c>
      <c r="H24" s="529">
        <v>5118</v>
      </c>
      <c r="I24" s="302">
        <v>4540</v>
      </c>
      <c r="J24" s="298">
        <v>4027</v>
      </c>
      <c r="K24" s="298">
        <v>4655</v>
      </c>
      <c r="L24" s="298">
        <v>4906</v>
      </c>
      <c r="M24" s="298">
        <v>4441</v>
      </c>
      <c r="N24" s="260">
        <v>4178</v>
      </c>
      <c r="O24" s="302">
        <v>3700</v>
      </c>
      <c r="P24" s="302">
        <v>3796</v>
      </c>
      <c r="Q24" s="302">
        <v>5308</v>
      </c>
      <c r="R24" s="99"/>
      <c r="S24" s="317">
        <f t="shared" si="8"/>
        <v>18863</v>
      </c>
      <c r="T24" s="400">
        <f t="shared" si="9"/>
        <v>18029</v>
      </c>
      <c r="U24" s="30">
        <f t="shared" si="4"/>
        <v>834</v>
      </c>
      <c r="V24" s="29">
        <f t="shared" si="5"/>
        <v>0.04625880525819513</v>
      </c>
      <c r="W24" s="92"/>
      <c r="X24" s="287">
        <f t="shared" si="10"/>
        <v>18863</v>
      </c>
      <c r="Y24" s="287">
        <v>18029</v>
      </c>
      <c r="Z24" s="287">
        <v>16982</v>
      </c>
      <c r="AA24" s="42">
        <v>10095</v>
      </c>
      <c r="AB24" s="42">
        <v>6951</v>
      </c>
      <c r="AC24" s="42">
        <v>3440</v>
      </c>
      <c r="AD24" s="3"/>
      <c r="AF24" s="3"/>
      <c r="AG24" s="3"/>
      <c r="AH24" s="3"/>
      <c r="AI24" s="3"/>
    </row>
    <row r="25" spans="1:35" ht="12.75" customHeight="1">
      <c r="A25" s="8"/>
      <c r="B25" s="251" t="s">
        <v>144</v>
      </c>
      <c r="C25" s="37">
        <f t="shared" si="6"/>
        <v>39</v>
      </c>
      <c r="D25" s="29">
        <f t="shared" si="7"/>
        <v>0.012716009129442452</v>
      </c>
      <c r="E25" s="40"/>
      <c r="F25" s="575">
        <v>3106</v>
      </c>
      <c r="G25" s="529">
        <v>3322</v>
      </c>
      <c r="H25" s="529">
        <v>3104</v>
      </c>
      <c r="I25" s="302">
        <v>2868</v>
      </c>
      <c r="J25" s="298">
        <v>3067</v>
      </c>
      <c r="K25" s="298">
        <v>3011</v>
      </c>
      <c r="L25" s="298">
        <v>2910</v>
      </c>
      <c r="M25" s="298">
        <v>2613</v>
      </c>
      <c r="N25" s="260">
        <v>5054</v>
      </c>
      <c r="O25" s="302">
        <v>3183</v>
      </c>
      <c r="P25" s="302">
        <v>2884</v>
      </c>
      <c r="Q25" s="302">
        <v>3008</v>
      </c>
      <c r="R25" s="99"/>
      <c r="S25" s="317">
        <f t="shared" si="8"/>
        <v>12400</v>
      </c>
      <c r="T25" s="400">
        <f t="shared" si="9"/>
        <v>11601</v>
      </c>
      <c r="U25" s="30">
        <f t="shared" si="4"/>
        <v>799</v>
      </c>
      <c r="V25" s="29">
        <f t="shared" si="5"/>
        <v>0.06887337298508749</v>
      </c>
      <c r="W25" s="92"/>
      <c r="X25" s="287">
        <f t="shared" si="10"/>
        <v>12400</v>
      </c>
      <c r="Y25" s="287">
        <v>11601</v>
      </c>
      <c r="Z25" s="287">
        <v>14129</v>
      </c>
      <c r="AA25" s="42">
        <v>5886</v>
      </c>
      <c r="AB25" s="42">
        <v>3980</v>
      </c>
      <c r="AC25" s="42">
        <v>4236</v>
      </c>
      <c r="AD25" s="3"/>
      <c r="AF25" s="3"/>
      <c r="AG25" s="3"/>
      <c r="AH25" s="3"/>
      <c r="AI25" s="3"/>
    </row>
    <row r="26" spans="1:35" ht="12.75" customHeight="1">
      <c r="A26" s="8"/>
      <c r="B26" s="251" t="s">
        <v>145</v>
      </c>
      <c r="C26" s="37">
        <f t="shared" si="6"/>
        <v>27</v>
      </c>
      <c r="D26" s="29">
        <f t="shared" si="7"/>
        <v>0.0081203007518797</v>
      </c>
      <c r="E26" s="40"/>
      <c r="F26" s="575">
        <v>3352</v>
      </c>
      <c r="G26" s="529">
        <v>3136</v>
      </c>
      <c r="H26" s="529">
        <v>3803</v>
      </c>
      <c r="I26" s="302">
        <v>3278</v>
      </c>
      <c r="J26" s="298">
        <v>3325</v>
      </c>
      <c r="K26" s="298">
        <v>3063</v>
      </c>
      <c r="L26" s="298">
        <v>2962</v>
      </c>
      <c r="M26" s="298">
        <v>2879</v>
      </c>
      <c r="N26" s="260">
        <v>2804</v>
      </c>
      <c r="O26" s="302">
        <v>2586</v>
      </c>
      <c r="P26" s="302">
        <v>2530</v>
      </c>
      <c r="Q26" s="302">
        <v>2427</v>
      </c>
      <c r="R26" s="99"/>
      <c r="S26" s="317">
        <f t="shared" si="8"/>
        <v>13569</v>
      </c>
      <c r="T26" s="400">
        <f t="shared" si="9"/>
        <v>12229</v>
      </c>
      <c r="U26" s="30">
        <f t="shared" si="4"/>
        <v>1340</v>
      </c>
      <c r="V26" s="29">
        <f t="shared" si="5"/>
        <v>0.10957559898601685</v>
      </c>
      <c r="W26" s="92"/>
      <c r="X26" s="287">
        <f t="shared" si="10"/>
        <v>13569</v>
      </c>
      <c r="Y26" s="287">
        <v>12229</v>
      </c>
      <c r="Z26" s="287">
        <v>10347</v>
      </c>
      <c r="AA26" s="42">
        <v>6727</v>
      </c>
      <c r="AB26" s="42">
        <v>5252</v>
      </c>
      <c r="AC26" s="42">
        <v>4205</v>
      </c>
      <c r="AD26" s="3"/>
      <c r="AF26" s="3"/>
      <c r="AG26" s="3"/>
      <c r="AH26" s="3"/>
      <c r="AI26" s="3"/>
    </row>
    <row r="27" spans="1:35" ht="12.75" customHeight="1">
      <c r="A27" s="8"/>
      <c r="B27" s="251" t="s">
        <v>140</v>
      </c>
      <c r="C27" s="37">
        <f t="shared" si="6"/>
        <v>-461</v>
      </c>
      <c r="D27" s="29">
        <f t="shared" si="7"/>
        <v>-0.6385041551246537</v>
      </c>
      <c r="E27" s="40"/>
      <c r="F27" s="575">
        <v>261</v>
      </c>
      <c r="G27" s="529">
        <v>272</v>
      </c>
      <c r="H27" s="529">
        <v>357</v>
      </c>
      <c r="I27" s="302">
        <v>482</v>
      </c>
      <c r="J27" s="298">
        <v>722</v>
      </c>
      <c r="K27" s="298">
        <v>738</v>
      </c>
      <c r="L27" s="298">
        <v>353</v>
      </c>
      <c r="M27" s="298">
        <v>594</v>
      </c>
      <c r="N27" s="260">
        <v>617</v>
      </c>
      <c r="O27" s="302">
        <v>520</v>
      </c>
      <c r="P27" s="302">
        <v>889</v>
      </c>
      <c r="Q27" s="302">
        <v>691</v>
      </c>
      <c r="R27" s="99"/>
      <c r="S27" s="317">
        <f t="shared" si="8"/>
        <v>1372</v>
      </c>
      <c r="T27" s="400">
        <f t="shared" si="9"/>
        <v>2407</v>
      </c>
      <c r="U27" s="30">
        <f t="shared" si="4"/>
        <v>-1035</v>
      </c>
      <c r="V27" s="29">
        <f t="shared" si="5"/>
        <v>-0.4299958454507686</v>
      </c>
      <c r="W27" s="92"/>
      <c r="X27" s="287">
        <f t="shared" si="10"/>
        <v>1372</v>
      </c>
      <c r="Y27" s="287">
        <v>2407</v>
      </c>
      <c r="Z27" s="287">
        <v>2717</v>
      </c>
      <c r="AA27" s="42">
        <v>1789</v>
      </c>
      <c r="AB27" s="42">
        <v>611</v>
      </c>
      <c r="AC27" s="42">
        <v>35</v>
      </c>
      <c r="AD27" s="3"/>
      <c r="AF27" s="3"/>
      <c r="AG27" s="3"/>
      <c r="AH27" s="3"/>
      <c r="AI27" s="3"/>
    </row>
    <row r="28" spans="1:35" ht="12.75" customHeight="1">
      <c r="A28" s="8"/>
      <c r="B28" s="251" t="s">
        <v>146</v>
      </c>
      <c r="C28" s="37">
        <f t="shared" si="6"/>
        <v>-5683</v>
      </c>
      <c r="D28" s="29">
        <f t="shared" si="7"/>
        <v>-0.5204212454212455</v>
      </c>
      <c r="E28" s="40"/>
      <c r="F28" s="575">
        <v>5237</v>
      </c>
      <c r="G28" s="529">
        <v>8873</v>
      </c>
      <c r="H28" s="529">
        <v>12243</v>
      </c>
      <c r="I28" s="302">
        <v>12065</v>
      </c>
      <c r="J28" s="298">
        <v>10920</v>
      </c>
      <c r="K28" s="298">
        <v>8753</v>
      </c>
      <c r="L28" s="298">
        <v>9885</v>
      </c>
      <c r="M28" s="298">
        <v>10397</v>
      </c>
      <c r="N28" s="260">
        <v>10292</v>
      </c>
      <c r="O28" s="302">
        <v>7376</v>
      </c>
      <c r="P28" s="302">
        <v>8470</v>
      </c>
      <c r="Q28" s="302">
        <v>8715</v>
      </c>
      <c r="R28" s="99"/>
      <c r="S28" s="317">
        <f t="shared" si="8"/>
        <v>38418</v>
      </c>
      <c r="T28" s="400">
        <f t="shared" si="9"/>
        <v>39955</v>
      </c>
      <c r="U28" s="30">
        <f t="shared" si="4"/>
        <v>-1537</v>
      </c>
      <c r="V28" s="29">
        <f t="shared" si="5"/>
        <v>-0.03846827681141284</v>
      </c>
      <c r="W28" s="92"/>
      <c r="X28" s="287">
        <f t="shared" si="10"/>
        <v>38418</v>
      </c>
      <c r="Y28" s="287">
        <v>39955</v>
      </c>
      <c r="Z28" s="287">
        <v>34853</v>
      </c>
      <c r="AA28" s="42">
        <v>19998</v>
      </c>
      <c r="AB28" s="42">
        <v>13448</v>
      </c>
      <c r="AC28" s="42">
        <v>7632</v>
      </c>
      <c r="AD28" s="3"/>
      <c r="AF28" s="3"/>
      <c r="AG28" s="3"/>
      <c r="AH28" s="3"/>
      <c r="AI28" s="3"/>
    </row>
    <row r="29" spans="1:35" ht="12.75" customHeight="1">
      <c r="A29" s="8"/>
      <c r="B29" s="251" t="s">
        <v>147</v>
      </c>
      <c r="C29" s="37">
        <f t="shared" si="6"/>
        <v>11</v>
      </c>
      <c r="D29" s="29">
        <f t="shared" si="7"/>
        <v>0.011022044088176353</v>
      </c>
      <c r="E29" s="40"/>
      <c r="F29" s="575">
        <v>1009</v>
      </c>
      <c r="G29" s="529">
        <v>1586</v>
      </c>
      <c r="H29" s="529">
        <v>926</v>
      </c>
      <c r="I29" s="302">
        <v>912</v>
      </c>
      <c r="J29" s="298">
        <v>998</v>
      </c>
      <c r="K29" s="298">
        <v>984</v>
      </c>
      <c r="L29" s="298">
        <v>985</v>
      </c>
      <c r="M29" s="298">
        <v>911</v>
      </c>
      <c r="N29" s="260">
        <v>895</v>
      </c>
      <c r="O29" s="302">
        <v>785</v>
      </c>
      <c r="P29" s="302">
        <v>1291</v>
      </c>
      <c r="Q29" s="302">
        <v>950</v>
      </c>
      <c r="R29" s="99"/>
      <c r="S29" s="317">
        <f t="shared" si="8"/>
        <v>4433</v>
      </c>
      <c r="T29" s="400">
        <f t="shared" si="9"/>
        <v>3878</v>
      </c>
      <c r="U29" s="30">
        <f t="shared" si="4"/>
        <v>555</v>
      </c>
      <c r="V29" s="29">
        <f t="shared" si="5"/>
        <v>0.14311500773594638</v>
      </c>
      <c r="W29" s="92"/>
      <c r="X29" s="287">
        <f t="shared" si="10"/>
        <v>4433</v>
      </c>
      <c r="Y29" s="287">
        <v>3878</v>
      </c>
      <c r="Z29" s="287">
        <v>3921</v>
      </c>
      <c r="AA29" s="42">
        <v>1910</v>
      </c>
      <c r="AB29" s="42">
        <v>1204</v>
      </c>
      <c r="AC29" s="42">
        <v>1291</v>
      </c>
      <c r="AD29" s="3"/>
      <c r="AF29" s="3"/>
      <c r="AG29" s="3"/>
      <c r="AH29" s="3"/>
      <c r="AI29" s="3"/>
    </row>
    <row r="30" spans="1:35" ht="12.75" customHeight="1">
      <c r="A30" s="7"/>
      <c r="B30" s="251" t="s">
        <v>148</v>
      </c>
      <c r="C30" s="37">
        <f t="shared" si="6"/>
        <v>-3186</v>
      </c>
      <c r="D30" s="29">
        <f t="shared" si="7"/>
        <v>-0.49796811503594873</v>
      </c>
      <c r="E30" s="40"/>
      <c r="F30" s="575">
        <v>3212</v>
      </c>
      <c r="G30" s="529">
        <v>4251</v>
      </c>
      <c r="H30" s="529">
        <v>3682</v>
      </c>
      <c r="I30" s="302">
        <v>4123</v>
      </c>
      <c r="J30" s="298">
        <v>6398</v>
      </c>
      <c r="K30" s="298">
        <v>3936</v>
      </c>
      <c r="L30" s="298">
        <v>5582</v>
      </c>
      <c r="M30" s="298">
        <v>4292</v>
      </c>
      <c r="N30" s="260">
        <v>3663</v>
      </c>
      <c r="O30" s="302">
        <v>2463</v>
      </c>
      <c r="P30" s="302">
        <v>3310</v>
      </c>
      <c r="Q30" s="302">
        <v>1287</v>
      </c>
      <c r="R30" s="99"/>
      <c r="S30" s="317">
        <f t="shared" si="8"/>
        <v>15268</v>
      </c>
      <c r="T30" s="400">
        <f t="shared" si="9"/>
        <v>20208</v>
      </c>
      <c r="U30" s="30">
        <f t="shared" si="4"/>
        <v>-4940</v>
      </c>
      <c r="V30" s="29">
        <f t="shared" si="5"/>
        <v>-0.24445764053840063</v>
      </c>
      <c r="W30" s="92"/>
      <c r="X30" s="287">
        <f t="shared" si="10"/>
        <v>15268</v>
      </c>
      <c r="Y30" s="287">
        <v>20208</v>
      </c>
      <c r="Z30" s="287">
        <v>10723</v>
      </c>
      <c r="AA30" s="42">
        <v>1239</v>
      </c>
      <c r="AB30" s="42">
        <v>682</v>
      </c>
      <c r="AC30" s="42">
        <v>836</v>
      </c>
      <c r="AD30" s="3"/>
      <c r="AF30" s="3"/>
      <c r="AG30" s="3"/>
      <c r="AH30" s="3"/>
      <c r="AI30" s="3"/>
    </row>
    <row r="31" spans="1:35" ht="12.75" customHeight="1" hidden="1">
      <c r="A31" s="7"/>
      <c r="B31" s="251" t="s">
        <v>178</v>
      </c>
      <c r="C31" s="37">
        <f t="shared" si="6"/>
        <v>0</v>
      </c>
      <c r="D31" s="29" t="e">
        <f t="shared" si="7"/>
        <v>#DIV/0!</v>
      </c>
      <c r="E31" s="40"/>
      <c r="F31" s="575"/>
      <c r="G31" s="529"/>
      <c r="H31" s="529"/>
      <c r="I31" s="498"/>
      <c r="J31" s="299"/>
      <c r="K31" s="299">
        <v>0</v>
      </c>
      <c r="L31" s="299">
        <v>0</v>
      </c>
      <c r="M31" s="299">
        <v>0</v>
      </c>
      <c r="N31" s="261">
        <v>0</v>
      </c>
      <c r="O31" s="253">
        <v>0</v>
      </c>
      <c r="P31" s="253">
        <v>0</v>
      </c>
      <c r="Q31" s="253">
        <v>0</v>
      </c>
      <c r="R31" s="99"/>
      <c r="S31" s="317">
        <f t="shared" si="8"/>
        <v>0</v>
      </c>
      <c r="T31" s="400">
        <f t="shared" si="9"/>
        <v>0</v>
      </c>
      <c r="U31" s="30">
        <f t="shared" si="4"/>
        <v>0</v>
      </c>
      <c r="V31" s="29" t="e">
        <f t="shared" si="5"/>
        <v>#DIV/0!</v>
      </c>
      <c r="W31" s="92"/>
      <c r="X31" s="290">
        <f t="shared" si="10"/>
        <v>0</v>
      </c>
      <c r="Y31" s="290">
        <v>0</v>
      </c>
      <c r="Z31" s="290">
        <v>0</v>
      </c>
      <c r="AA31" s="42">
        <v>0</v>
      </c>
      <c r="AB31" s="42">
        <v>0</v>
      </c>
      <c r="AC31" s="42">
        <v>0</v>
      </c>
      <c r="AD31" s="3"/>
      <c r="AF31" s="3"/>
      <c r="AG31" s="3"/>
      <c r="AH31" s="3"/>
      <c r="AI31" s="3"/>
    </row>
    <row r="32" spans="1:35" ht="12.75" customHeight="1">
      <c r="A32" s="7"/>
      <c r="B32" s="92" t="s">
        <v>150</v>
      </c>
      <c r="C32" s="37">
        <f t="shared" si="6"/>
        <v>-983</v>
      </c>
      <c r="D32" s="29" t="s">
        <v>54</v>
      </c>
      <c r="E32" s="40"/>
      <c r="F32" s="261">
        <v>0</v>
      </c>
      <c r="G32" s="299">
        <v>0</v>
      </c>
      <c r="H32" s="299">
        <v>0</v>
      </c>
      <c r="I32" s="303">
        <v>0</v>
      </c>
      <c r="J32" s="298">
        <v>983</v>
      </c>
      <c r="K32" s="298">
        <v>1101</v>
      </c>
      <c r="L32" s="298">
        <v>1146</v>
      </c>
      <c r="M32" s="299">
        <v>0</v>
      </c>
      <c r="N32" s="261">
        <v>0</v>
      </c>
      <c r="O32" s="253">
        <v>0</v>
      </c>
      <c r="P32" s="253">
        <v>0</v>
      </c>
      <c r="Q32" s="253">
        <v>0</v>
      </c>
      <c r="R32" s="99"/>
      <c r="S32" s="301">
        <f t="shared" si="8"/>
        <v>0</v>
      </c>
      <c r="T32" s="400">
        <f t="shared" si="9"/>
        <v>3230</v>
      </c>
      <c r="U32" s="30">
        <f t="shared" si="4"/>
        <v>-3230</v>
      </c>
      <c r="V32" s="29">
        <f t="shared" si="5"/>
        <v>-1</v>
      </c>
      <c r="W32" s="92"/>
      <c r="X32" s="290">
        <f t="shared" si="10"/>
        <v>0</v>
      </c>
      <c r="Y32" s="287">
        <v>3230</v>
      </c>
      <c r="Z32" s="290">
        <v>0</v>
      </c>
      <c r="AA32" s="42">
        <v>0</v>
      </c>
      <c r="AB32" s="42">
        <v>0</v>
      </c>
      <c r="AC32" s="42">
        <v>0</v>
      </c>
      <c r="AD32" s="3"/>
      <c r="AF32" s="3"/>
      <c r="AG32" s="3"/>
      <c r="AH32" s="3"/>
      <c r="AI32" s="3"/>
    </row>
    <row r="33" spans="1:35" ht="12.75" customHeight="1">
      <c r="A33" s="7"/>
      <c r="B33" s="229" t="s">
        <v>281</v>
      </c>
      <c r="C33" s="37">
        <f t="shared" si="6"/>
        <v>0</v>
      </c>
      <c r="D33" s="29">
        <v>0</v>
      </c>
      <c r="E33" s="40"/>
      <c r="F33" s="301">
        <v>0</v>
      </c>
      <c r="G33" s="300">
        <v>0</v>
      </c>
      <c r="H33" s="300">
        <v>0</v>
      </c>
      <c r="I33" s="303">
        <v>0</v>
      </c>
      <c r="J33" s="301">
        <v>0</v>
      </c>
      <c r="K33" s="300">
        <v>0</v>
      </c>
      <c r="L33" s="300">
        <v>0</v>
      </c>
      <c r="M33" s="300">
        <v>0</v>
      </c>
      <c r="N33" s="301">
        <v>0</v>
      </c>
      <c r="O33" s="303">
        <v>0</v>
      </c>
      <c r="P33" s="303">
        <v>0</v>
      </c>
      <c r="Q33" s="303">
        <v>0</v>
      </c>
      <c r="R33" s="99"/>
      <c r="S33" s="301">
        <f t="shared" si="8"/>
        <v>0</v>
      </c>
      <c r="T33" s="300">
        <f t="shared" si="9"/>
        <v>0</v>
      </c>
      <c r="U33" s="299">
        <f t="shared" si="4"/>
        <v>0</v>
      </c>
      <c r="V33" s="29">
        <v>0</v>
      </c>
      <c r="W33" s="92"/>
      <c r="X33" s="290">
        <f t="shared" si="10"/>
        <v>0</v>
      </c>
      <c r="Y33" s="290">
        <v>0</v>
      </c>
      <c r="Z33" s="290">
        <v>0</v>
      </c>
      <c r="AA33" s="42">
        <v>0</v>
      </c>
      <c r="AB33" s="42">
        <v>0</v>
      </c>
      <c r="AC33" s="42">
        <v>0</v>
      </c>
      <c r="AD33" s="3"/>
      <c r="AF33" s="3"/>
      <c r="AG33" s="3"/>
      <c r="AH33" s="3"/>
      <c r="AI33" s="3"/>
    </row>
    <row r="34" spans="1:35" ht="12.75" customHeight="1">
      <c r="A34" s="7"/>
      <c r="B34" s="7" t="s">
        <v>279</v>
      </c>
      <c r="C34" s="37">
        <f t="shared" si="6"/>
        <v>0</v>
      </c>
      <c r="D34" s="29">
        <v>0</v>
      </c>
      <c r="E34" s="40"/>
      <c r="F34" s="301">
        <v>0</v>
      </c>
      <c r="G34" s="300">
        <v>31524</v>
      </c>
      <c r="H34" s="300">
        <v>0</v>
      </c>
      <c r="I34" s="303">
        <v>0</v>
      </c>
      <c r="J34" s="301">
        <v>0</v>
      </c>
      <c r="K34" s="300">
        <v>0</v>
      </c>
      <c r="L34" s="300">
        <v>0</v>
      </c>
      <c r="M34" s="300">
        <v>0</v>
      </c>
      <c r="N34" s="301">
        <v>0</v>
      </c>
      <c r="O34" s="303">
        <v>0</v>
      </c>
      <c r="P34" s="303"/>
      <c r="Q34" s="303"/>
      <c r="R34" s="99"/>
      <c r="S34" s="301">
        <f t="shared" si="8"/>
        <v>31524</v>
      </c>
      <c r="T34" s="300">
        <f t="shared" si="9"/>
        <v>0</v>
      </c>
      <c r="U34" s="299">
        <f>S34-T34</f>
        <v>31524</v>
      </c>
      <c r="V34" s="303" t="s">
        <v>54</v>
      </c>
      <c r="W34" s="92"/>
      <c r="X34" s="291">
        <f t="shared" si="10"/>
        <v>31524</v>
      </c>
      <c r="Y34" s="290">
        <v>0</v>
      </c>
      <c r="Z34" s="290">
        <v>0</v>
      </c>
      <c r="AA34" s="290">
        <v>0</v>
      </c>
      <c r="AB34" s="290">
        <v>0</v>
      </c>
      <c r="AC34" s="290">
        <v>0</v>
      </c>
      <c r="AD34" s="3"/>
      <c r="AF34" s="3"/>
      <c r="AG34" s="3"/>
      <c r="AH34" s="3"/>
      <c r="AI34" s="3"/>
    </row>
    <row r="35" spans="1:35" ht="12.75" customHeight="1">
      <c r="A35" s="8"/>
      <c r="B35" s="7" t="s">
        <v>290</v>
      </c>
      <c r="C35" s="37">
        <f t="shared" si="6"/>
        <v>-978</v>
      </c>
      <c r="D35" s="29" t="s">
        <v>54</v>
      </c>
      <c r="E35" s="40"/>
      <c r="F35" s="575">
        <v>22</v>
      </c>
      <c r="G35" s="529">
        <v>5949</v>
      </c>
      <c r="H35" s="300">
        <v>0</v>
      </c>
      <c r="I35" s="303">
        <v>0</v>
      </c>
      <c r="J35" s="555">
        <v>1000</v>
      </c>
      <c r="K35" s="300">
        <v>0</v>
      </c>
      <c r="L35" s="300">
        <v>0</v>
      </c>
      <c r="M35" s="300">
        <v>0</v>
      </c>
      <c r="N35" s="301">
        <v>0</v>
      </c>
      <c r="O35" s="303">
        <v>0</v>
      </c>
      <c r="P35" s="302"/>
      <c r="Q35" s="302"/>
      <c r="R35" s="99"/>
      <c r="S35" s="317">
        <f t="shared" si="8"/>
        <v>5971</v>
      </c>
      <c r="T35" s="300">
        <f t="shared" si="9"/>
        <v>1000</v>
      </c>
      <c r="U35" s="30">
        <f t="shared" si="4"/>
        <v>4971</v>
      </c>
      <c r="V35" s="29">
        <f>U35/T35</f>
        <v>4.971</v>
      </c>
      <c r="W35" s="92"/>
      <c r="X35" s="291">
        <f t="shared" si="10"/>
        <v>5971</v>
      </c>
      <c r="Y35" s="42">
        <v>1000</v>
      </c>
      <c r="Z35" s="42">
        <v>0</v>
      </c>
      <c r="AA35" s="42">
        <v>0</v>
      </c>
      <c r="AB35" s="42">
        <v>0</v>
      </c>
      <c r="AC35" s="42">
        <v>0</v>
      </c>
      <c r="AD35" s="3"/>
      <c r="AF35" s="3"/>
      <c r="AG35" s="3"/>
      <c r="AH35" s="3"/>
      <c r="AI35" s="3"/>
    </row>
    <row r="36" spans="1:35" ht="12.75" customHeight="1">
      <c r="A36" s="8"/>
      <c r="B36" s="7"/>
      <c r="C36" s="254">
        <f t="shared" si="6"/>
        <v>-20601</v>
      </c>
      <c r="D36" s="255">
        <f t="shared" si="7"/>
        <v>-0.27416457060725835</v>
      </c>
      <c r="E36" s="40"/>
      <c r="F36" s="264">
        <f>SUM(F22:F35)</f>
        <v>54540</v>
      </c>
      <c r="G36" s="306">
        <f>SUM(G22:G35)</f>
        <v>95770</v>
      </c>
      <c r="H36" s="306">
        <v>63150</v>
      </c>
      <c r="I36" s="307">
        <v>85020</v>
      </c>
      <c r="J36" s="306">
        <v>75141</v>
      </c>
      <c r="K36" s="306">
        <v>87449</v>
      </c>
      <c r="L36" s="306">
        <v>74128</v>
      </c>
      <c r="M36" s="306">
        <v>106349</v>
      </c>
      <c r="N36" s="264">
        <v>100905</v>
      </c>
      <c r="O36" s="307">
        <v>75317</v>
      </c>
      <c r="P36" s="307">
        <v>70703</v>
      </c>
      <c r="Q36" s="307">
        <v>91522</v>
      </c>
      <c r="R36" s="99"/>
      <c r="S36" s="402">
        <f t="shared" si="8"/>
        <v>298480</v>
      </c>
      <c r="T36" s="403">
        <f t="shared" si="9"/>
        <v>343067</v>
      </c>
      <c r="U36" s="413">
        <f t="shared" si="4"/>
        <v>-44587</v>
      </c>
      <c r="V36" s="255">
        <f t="shared" si="5"/>
        <v>-0.12996586672574162</v>
      </c>
      <c r="W36" s="92"/>
      <c r="X36" s="288">
        <f>SUM(X22:X35)</f>
        <v>298480</v>
      </c>
      <c r="Y36" s="288">
        <v>343067</v>
      </c>
      <c r="Z36" s="288">
        <v>338447</v>
      </c>
      <c r="AA36" s="369">
        <v>231683</v>
      </c>
      <c r="AB36" s="369">
        <v>173735</v>
      </c>
      <c r="AC36" s="369">
        <v>154490</v>
      </c>
      <c r="AD36" s="3"/>
      <c r="AF36" s="3"/>
      <c r="AG36" s="3"/>
      <c r="AH36" s="3"/>
      <c r="AI36" s="3"/>
    </row>
    <row r="37" spans="1:35" s="106" customFormat="1" ht="15" customHeight="1" thickBot="1">
      <c r="A37" s="228" t="s">
        <v>253</v>
      </c>
      <c r="B37" s="227"/>
      <c r="C37" s="538">
        <f t="shared" si="6"/>
        <v>7608</v>
      </c>
      <c r="D37" s="268">
        <f t="shared" si="7"/>
        <v>2.6940509915014164</v>
      </c>
      <c r="E37" s="40"/>
      <c r="F37" s="589">
        <f>F20-F36</f>
        <v>10432</v>
      </c>
      <c r="G37" s="541">
        <f>G20-G36</f>
        <v>-46520</v>
      </c>
      <c r="H37" s="541">
        <v>-4814</v>
      </c>
      <c r="I37" s="542">
        <v>19773</v>
      </c>
      <c r="J37" s="308">
        <v>2824</v>
      </c>
      <c r="K37" s="308">
        <v>22134</v>
      </c>
      <c r="L37" s="308">
        <v>14943</v>
      </c>
      <c r="M37" s="308">
        <v>48674</v>
      </c>
      <c r="N37" s="267">
        <v>29246</v>
      </c>
      <c r="O37" s="309">
        <v>26110</v>
      </c>
      <c r="P37" s="309">
        <v>22330</v>
      </c>
      <c r="Q37" s="309">
        <v>33584</v>
      </c>
      <c r="R37" s="99"/>
      <c r="S37" s="404">
        <f t="shared" si="8"/>
        <v>-21129</v>
      </c>
      <c r="T37" s="405">
        <f t="shared" si="9"/>
        <v>88575</v>
      </c>
      <c r="U37" s="414">
        <f t="shared" si="4"/>
        <v>-109704</v>
      </c>
      <c r="V37" s="268">
        <f t="shared" si="5"/>
        <v>-1.2385436071126164</v>
      </c>
      <c r="W37" s="92"/>
      <c r="X37" s="295">
        <f>X20-X36</f>
        <v>-21129</v>
      </c>
      <c r="Y37" s="295">
        <v>88575</v>
      </c>
      <c r="Z37" s="295">
        <v>111270</v>
      </c>
      <c r="AA37" s="370">
        <v>101983</v>
      </c>
      <c r="AB37" s="370">
        <v>65919</v>
      </c>
      <c r="AC37" s="370">
        <v>57268</v>
      </c>
      <c r="AD37" s="296"/>
      <c r="AF37" s="296"/>
      <c r="AG37" s="296"/>
      <c r="AH37" s="296"/>
      <c r="AI37" s="296"/>
    </row>
    <row r="38" spans="1:35" ht="12.75" customHeight="1" thickTop="1">
      <c r="A38" s="229"/>
      <c r="B38" s="229"/>
      <c r="C38" s="30"/>
      <c r="D38" s="40"/>
      <c r="E38" s="40"/>
      <c r="F38" s="40"/>
      <c r="G38" s="40"/>
      <c r="H38" s="40"/>
      <c r="I38" s="233"/>
      <c r="J38" s="92"/>
      <c r="K38" s="92"/>
      <c r="L38" s="92"/>
      <c r="M38" s="92"/>
      <c r="N38" s="272"/>
      <c r="O38" s="272"/>
      <c r="P38" s="272"/>
      <c r="Q38" s="272"/>
      <c r="R38" s="233"/>
      <c r="S38" s="400"/>
      <c r="T38" s="400"/>
      <c r="U38" s="30"/>
      <c r="V38" s="40"/>
      <c r="W38" s="233"/>
      <c r="X38" s="233"/>
      <c r="Y38" s="30"/>
      <c r="Z38" s="30"/>
      <c r="AA38" s="378"/>
      <c r="AB38" s="30"/>
      <c r="AC38" s="30"/>
      <c r="AD38" s="3"/>
      <c r="AF38" s="3"/>
      <c r="AG38" s="3"/>
      <c r="AH38" s="3"/>
      <c r="AI38" s="3"/>
    </row>
    <row r="39" spans="1:35" ht="12.75" customHeight="1">
      <c r="A39" s="229"/>
      <c r="B39" s="229"/>
      <c r="C39" s="30"/>
      <c r="D39" s="40"/>
      <c r="E39" s="40"/>
      <c r="F39" s="40"/>
      <c r="G39" s="40"/>
      <c r="H39" s="40"/>
      <c r="I39" s="233"/>
      <c r="J39" s="92"/>
      <c r="K39" s="92"/>
      <c r="L39" s="92"/>
      <c r="M39" s="92"/>
      <c r="N39" s="272"/>
      <c r="O39" s="272"/>
      <c r="P39" s="272"/>
      <c r="Q39" s="272"/>
      <c r="R39" s="233"/>
      <c r="S39" s="400"/>
      <c r="T39" s="400"/>
      <c r="U39" s="30"/>
      <c r="V39" s="40"/>
      <c r="W39" s="233"/>
      <c r="X39" s="233"/>
      <c r="Y39" s="30"/>
      <c r="Z39" s="30"/>
      <c r="AA39" s="30"/>
      <c r="AB39" s="30"/>
      <c r="AC39" s="30"/>
      <c r="AD39" s="3"/>
      <c r="AF39" s="3"/>
      <c r="AG39" s="3"/>
      <c r="AH39" s="3"/>
      <c r="AI39" s="3"/>
    </row>
    <row r="40" spans="1:35" ht="12.75" customHeight="1">
      <c r="A40" s="230" t="s">
        <v>153</v>
      </c>
      <c r="B40" s="231"/>
      <c r="C40" s="247">
        <f>(F40-J40)*100</f>
        <v>-5.303047466600996</v>
      </c>
      <c r="D40" s="40"/>
      <c r="E40" s="40"/>
      <c r="F40" s="273">
        <f>F22/F20</f>
        <v>0.46496952533399005</v>
      </c>
      <c r="G40" s="273">
        <f>G22/G20</f>
        <v>0.5859289340101523</v>
      </c>
      <c r="H40" s="273">
        <v>0.5142279210093252</v>
      </c>
      <c r="I40" s="273">
        <v>0.5012643974311262</v>
      </c>
      <c r="J40" s="34">
        <v>0.518</v>
      </c>
      <c r="K40" s="34">
        <v>0.529</v>
      </c>
      <c r="L40" s="34">
        <v>0.474</v>
      </c>
      <c r="M40" s="34">
        <v>0.492</v>
      </c>
      <c r="N40" s="34">
        <v>0.544</v>
      </c>
      <c r="O40" s="34">
        <v>0.508</v>
      </c>
      <c r="P40" s="34">
        <v>0.487</v>
      </c>
      <c r="Q40" s="34">
        <v>0.527</v>
      </c>
      <c r="R40" s="233"/>
      <c r="S40" s="34">
        <f aca="true" t="shared" si="11" ref="S40:T44">X40</f>
        <v>0.5105227671794946</v>
      </c>
      <c r="T40" s="34">
        <f t="shared" si="11"/>
        <v>0.5021198122518198</v>
      </c>
      <c r="U40" s="247">
        <f>(S40-T40)*100</f>
        <v>0.8402954927674844</v>
      </c>
      <c r="V40" s="40"/>
      <c r="W40" s="233"/>
      <c r="X40" s="34">
        <f>X22/X20</f>
        <v>0.5105227671794946</v>
      </c>
      <c r="Y40" s="34">
        <v>0.5021198122518198</v>
      </c>
      <c r="Z40" s="34">
        <v>0.519</v>
      </c>
      <c r="AA40" s="372">
        <v>0.526</v>
      </c>
      <c r="AB40" s="372">
        <v>0.522</v>
      </c>
      <c r="AC40" s="372">
        <v>0.568</v>
      </c>
      <c r="AD40" s="3"/>
      <c r="AF40" s="3"/>
      <c r="AG40" s="3"/>
      <c r="AH40" s="3"/>
      <c r="AI40" s="3"/>
    </row>
    <row r="41" spans="1:35" ht="12.75" customHeight="1">
      <c r="A41" s="230" t="s">
        <v>154</v>
      </c>
      <c r="B41" s="231"/>
      <c r="C41" s="247">
        <f>(F41-J41)*100</f>
        <v>-4.196102936649638</v>
      </c>
      <c r="D41" s="40"/>
      <c r="E41" s="40"/>
      <c r="F41" s="273">
        <f>(F22+F23)/F20</f>
        <v>0.5190389706335037</v>
      </c>
      <c r="G41" s="273">
        <f>(G22+G23)/G20</f>
        <v>0.655228426395939</v>
      </c>
      <c r="H41" s="273">
        <v>0.5814077070762479</v>
      </c>
      <c r="I41" s="273">
        <v>0.5415628906510931</v>
      </c>
      <c r="J41" s="34">
        <v>0.561</v>
      </c>
      <c r="K41" s="34">
        <v>0.559</v>
      </c>
      <c r="L41" s="34">
        <v>0.51</v>
      </c>
      <c r="M41" s="34">
        <v>0.517</v>
      </c>
      <c r="N41" s="34">
        <v>0.564</v>
      </c>
      <c r="O41" s="34">
        <v>0.539</v>
      </c>
      <c r="P41" s="34">
        <v>0.511</v>
      </c>
      <c r="Q41" s="34">
        <v>0.553</v>
      </c>
      <c r="R41" s="233"/>
      <c r="S41" s="34">
        <f t="shared" si="11"/>
        <v>0.5648510371334519</v>
      </c>
      <c r="T41" s="34">
        <f t="shared" si="11"/>
        <v>0.5340768507235163</v>
      </c>
      <c r="U41" s="247">
        <f>(S41-T41)*100+0.01</f>
        <v>3.0874186409935565</v>
      </c>
      <c r="V41" s="40"/>
      <c r="W41" s="233"/>
      <c r="X41" s="34">
        <f>(X22+X23)/X20</f>
        <v>0.5648510371334519</v>
      </c>
      <c r="Y41" s="34">
        <v>0.5340768507235163</v>
      </c>
      <c r="Z41" s="34">
        <v>0.544</v>
      </c>
      <c r="AA41" s="372">
        <v>0.552</v>
      </c>
      <c r="AB41" s="372">
        <v>0.591</v>
      </c>
      <c r="AC41" s="372">
        <v>0.627</v>
      </c>
      <c r="AD41" s="3"/>
      <c r="AF41" s="3"/>
      <c r="AG41" s="3"/>
      <c r="AH41" s="3"/>
      <c r="AI41" s="3"/>
    </row>
    <row r="42" spans="1:35" ht="12.75" customHeight="1">
      <c r="A42" s="230" t="s">
        <v>155</v>
      </c>
      <c r="B42" s="231"/>
      <c r="C42" s="247">
        <f>(F42-J42)*100</f>
        <v>-8.260044326786915</v>
      </c>
      <c r="D42" s="40"/>
      <c r="E42" s="40"/>
      <c r="F42" s="273">
        <f>(F24+F25+F26+F27+F28+F29+F30+F31+F32+F33+F34+F35)/F20</f>
        <v>0.3203995567321308</v>
      </c>
      <c r="G42" s="273">
        <f>(G24+G25+G26+G27+G28+G29+G30+G31+G32+G33+G34+G35)/G20</f>
        <v>1.2893401015228427</v>
      </c>
      <c r="H42" s="273">
        <v>0.5011142347778387</v>
      </c>
      <c r="I42" s="273">
        <v>0.2697508421364022</v>
      </c>
      <c r="J42" s="34">
        <v>0.4029999999999999</v>
      </c>
      <c r="K42" s="34">
        <v>0.239</v>
      </c>
      <c r="L42" s="34">
        <v>0.32199999999999995</v>
      </c>
      <c r="M42" s="34">
        <v>0.16900000000000004</v>
      </c>
      <c r="N42" s="34">
        <v>0.21100000000000008</v>
      </c>
      <c r="O42" s="34">
        <v>0.20399999999999996</v>
      </c>
      <c r="P42" s="34">
        <v>0.249</v>
      </c>
      <c r="Q42" s="34">
        <v>0.17899999999999994</v>
      </c>
      <c r="R42" s="233"/>
      <c r="S42" s="34">
        <f t="shared" si="11"/>
        <v>0.5113304080389109</v>
      </c>
      <c r="T42" s="34">
        <f t="shared" si="11"/>
        <v>0.26071837309622325</v>
      </c>
      <c r="U42" s="247">
        <f>(S42-T42)*100</f>
        <v>25.061203494268767</v>
      </c>
      <c r="V42" s="40"/>
      <c r="W42" s="233"/>
      <c r="X42" s="34">
        <f>(X24+X25+X26+X27+X28+X29+X30+X31+X32+X33+X34+X35)/X20</f>
        <v>0.5113304080389109</v>
      </c>
      <c r="Y42" s="34">
        <v>0.26071837309622325</v>
      </c>
      <c r="Z42" s="34">
        <v>0.20899999999999996</v>
      </c>
      <c r="AA42" s="372">
        <v>0.1419999999999999</v>
      </c>
      <c r="AB42" s="372">
        <v>0.134</v>
      </c>
      <c r="AC42" s="372">
        <v>0.10299999999999998</v>
      </c>
      <c r="AD42" s="3"/>
      <c r="AF42" s="3"/>
      <c r="AG42" s="3"/>
      <c r="AH42" s="3"/>
      <c r="AI42" s="3"/>
    </row>
    <row r="43" spans="1:35" ht="12.75" customHeight="1">
      <c r="A43" s="230" t="s">
        <v>156</v>
      </c>
      <c r="B43" s="230"/>
      <c r="C43" s="247">
        <f>(F43-J43)*100</f>
        <v>-12.456147263436556</v>
      </c>
      <c r="D43" s="40"/>
      <c r="E43" s="40"/>
      <c r="F43" s="273">
        <f>F36/F20</f>
        <v>0.8394385273656344</v>
      </c>
      <c r="G43" s="273">
        <f>G36/G20</f>
        <v>1.9445685279187817</v>
      </c>
      <c r="H43" s="273">
        <v>1.0825219418540866</v>
      </c>
      <c r="I43" s="273">
        <v>0.8113137327874953</v>
      </c>
      <c r="J43" s="34">
        <v>0.964</v>
      </c>
      <c r="K43" s="34">
        <v>0.798</v>
      </c>
      <c r="L43" s="34">
        <v>0.832</v>
      </c>
      <c r="M43" s="34">
        <v>0.686</v>
      </c>
      <c r="N43" s="34">
        <v>0.775</v>
      </c>
      <c r="O43" s="34">
        <v>0.743</v>
      </c>
      <c r="P43" s="34">
        <v>0.76</v>
      </c>
      <c r="Q43" s="34">
        <v>0.732</v>
      </c>
      <c r="R43" s="233"/>
      <c r="S43" s="34">
        <f t="shared" si="11"/>
        <v>1.0761814451723628</v>
      </c>
      <c r="T43" s="34">
        <f t="shared" si="11"/>
        <v>0.7947952238197395</v>
      </c>
      <c r="U43" s="247">
        <f>(S43-T43)*100</f>
        <v>28.138622135262324</v>
      </c>
      <c r="V43" s="40"/>
      <c r="W43" s="233"/>
      <c r="X43" s="34">
        <f>X36/X20</f>
        <v>1.0761814451723628</v>
      </c>
      <c r="Y43" s="34">
        <v>0.7947952238197395</v>
      </c>
      <c r="Z43" s="34">
        <v>0.753</v>
      </c>
      <c r="AA43" s="372">
        <v>0.694</v>
      </c>
      <c r="AB43" s="372">
        <v>0.725</v>
      </c>
      <c r="AC43" s="372">
        <v>0.73</v>
      </c>
      <c r="AD43" s="3"/>
      <c r="AF43" s="3"/>
      <c r="AG43" s="3"/>
      <c r="AH43" s="3"/>
      <c r="AI43" s="3"/>
    </row>
    <row r="44" spans="1:35" ht="12.75" customHeight="1">
      <c r="A44" s="230" t="s">
        <v>157</v>
      </c>
      <c r="B44" s="230"/>
      <c r="C44" s="247">
        <f>(F44-J44)*100</f>
        <v>12.456147263436554</v>
      </c>
      <c r="D44" s="40"/>
      <c r="E44" s="40"/>
      <c r="F44" s="273">
        <f>F37/F20</f>
        <v>0.16056147263436557</v>
      </c>
      <c r="G44" s="273">
        <f>G37/G20</f>
        <v>-0.9445685279187818</v>
      </c>
      <c r="H44" s="273">
        <v>-0.08252194185408666</v>
      </c>
      <c r="I44" s="273">
        <v>0.18868626721250464</v>
      </c>
      <c r="J44" s="34">
        <v>0.03600000000000003</v>
      </c>
      <c r="K44" s="34">
        <v>0.20199999999999996</v>
      </c>
      <c r="L44" s="34">
        <v>0.16800000000000004</v>
      </c>
      <c r="M44" s="34">
        <v>0.31399999999999995</v>
      </c>
      <c r="N44" s="34">
        <v>0.225</v>
      </c>
      <c r="O44" s="34">
        <v>0.257</v>
      </c>
      <c r="P44" s="34">
        <v>0.24</v>
      </c>
      <c r="Q44" s="34">
        <v>0.268</v>
      </c>
      <c r="R44" s="233"/>
      <c r="S44" s="34">
        <f t="shared" si="11"/>
        <v>-0.07618144517236282</v>
      </c>
      <c r="T44" s="34">
        <f t="shared" si="11"/>
        <v>0.2052047761802605</v>
      </c>
      <c r="U44" s="247">
        <f>(S44-T44)*100</f>
        <v>-28.13862213526233</v>
      </c>
      <c r="V44" s="40"/>
      <c r="W44" s="233"/>
      <c r="X44" s="34">
        <f>X37/X20</f>
        <v>-0.07618144517236282</v>
      </c>
      <c r="Y44" s="34">
        <v>0.2052047761802605</v>
      </c>
      <c r="Z44" s="34">
        <v>0.247</v>
      </c>
      <c r="AA44" s="372">
        <v>0.30600000000000005</v>
      </c>
      <c r="AB44" s="372">
        <v>0.275</v>
      </c>
      <c r="AC44" s="372">
        <v>0.27</v>
      </c>
      <c r="AD44" s="3"/>
      <c r="AF44" s="3"/>
      <c r="AG44" s="3"/>
      <c r="AH44" s="3"/>
      <c r="AI44" s="3"/>
    </row>
    <row r="45" spans="1:35" ht="12.75" customHeight="1">
      <c r="A45" s="231"/>
      <c r="B45" s="231"/>
      <c r="C45" s="247"/>
      <c r="D45" s="40"/>
      <c r="E45" s="40"/>
      <c r="F45" s="40"/>
      <c r="G45" s="40"/>
      <c r="H45" s="40"/>
      <c r="I45" s="273"/>
      <c r="J45" s="273"/>
      <c r="K45" s="92"/>
      <c r="L45" s="92"/>
      <c r="M45" s="92"/>
      <c r="N45" s="273"/>
      <c r="O45" s="273"/>
      <c r="P45" s="273"/>
      <c r="Q45" s="273"/>
      <c r="R45" s="233"/>
      <c r="S45" s="400"/>
      <c r="T45" s="400"/>
      <c r="U45" s="30"/>
      <c r="V45" s="40"/>
      <c r="W45" s="233"/>
      <c r="X45" s="34"/>
      <c r="Y45" s="34"/>
      <c r="Z45" s="11"/>
      <c r="AA45" s="373"/>
      <c r="AB45" s="373"/>
      <c r="AC45" s="373"/>
      <c r="AD45" s="3"/>
      <c r="AF45" s="3"/>
      <c r="AG45" s="3"/>
      <c r="AH45" s="3"/>
      <c r="AI45" s="3"/>
    </row>
    <row r="46" spans="1:35" ht="12.75" customHeight="1">
      <c r="A46" s="231" t="s">
        <v>179</v>
      </c>
      <c r="B46" s="231"/>
      <c r="C46" s="252">
        <f>F46-J46</f>
        <v>-67</v>
      </c>
      <c r="D46" s="40">
        <f>C46/J46</f>
        <v>-0.12384473197781885</v>
      </c>
      <c r="E46" s="40"/>
      <c r="F46" s="357">
        <f>'10 Misc Operating Stats'!F12+'10 Misc Operating Stats'!F18+'10 Misc Operating Stats'!F21</f>
        <v>474</v>
      </c>
      <c r="G46" s="357">
        <f>'10 Misc Operating Stats'!G12+'10 Misc Operating Stats'!G18+'10 Misc Operating Stats'!G21</f>
        <v>480</v>
      </c>
      <c r="H46" s="357">
        <v>551</v>
      </c>
      <c r="I46" s="357">
        <v>545</v>
      </c>
      <c r="J46" s="252">
        <v>541</v>
      </c>
      <c r="K46" s="92">
        <v>531</v>
      </c>
      <c r="L46" s="92">
        <v>535</v>
      </c>
      <c r="M46" s="92">
        <v>534</v>
      </c>
      <c r="N46" s="252">
        <v>502</v>
      </c>
      <c r="O46" s="252">
        <v>502</v>
      </c>
      <c r="P46" s="252">
        <v>494</v>
      </c>
      <c r="Q46" s="252">
        <v>481</v>
      </c>
      <c r="R46" s="233"/>
      <c r="S46" s="400">
        <f>X46</f>
        <v>474</v>
      </c>
      <c r="T46" s="400">
        <f>Y46</f>
        <v>541</v>
      </c>
      <c r="U46" s="30">
        <f t="shared" si="4"/>
        <v>-67</v>
      </c>
      <c r="V46" s="40">
        <f t="shared" si="5"/>
        <v>-0.12384473197781885</v>
      </c>
      <c r="W46" s="233"/>
      <c r="X46" s="252">
        <f>'10 Misc Operating Stats'!X12+'10 Misc Operating Stats'!X18+'10 Misc Operating Stats'!X21</f>
        <v>474</v>
      </c>
      <c r="Y46" s="252">
        <v>541</v>
      </c>
      <c r="Z46" s="252">
        <v>502</v>
      </c>
      <c r="AA46" s="366">
        <v>464</v>
      </c>
      <c r="AB46" s="366">
        <v>279</v>
      </c>
      <c r="AC46" s="366">
        <v>237</v>
      </c>
      <c r="AD46" s="3"/>
      <c r="AF46" s="3"/>
      <c r="AG46" s="3"/>
      <c r="AH46" s="3"/>
      <c r="AI46" s="3"/>
    </row>
    <row r="47" spans="1:35" ht="12.75" customHeight="1">
      <c r="A47" s="7"/>
      <c r="B47" s="7"/>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366"/>
      <c r="AB47" s="366"/>
      <c r="AC47" s="366"/>
      <c r="AD47" s="3"/>
      <c r="AF47" s="3"/>
      <c r="AG47" s="3"/>
      <c r="AH47" s="3"/>
      <c r="AI47" s="3"/>
    </row>
    <row r="48" spans="1:35" ht="18" customHeight="1">
      <c r="A48" s="12" t="s">
        <v>280</v>
      </c>
      <c r="B48" s="7"/>
      <c r="C48" s="92"/>
      <c r="D48" s="92"/>
      <c r="E48" s="233"/>
      <c r="F48" s="233"/>
      <c r="G48" s="233"/>
      <c r="H48" s="233"/>
      <c r="I48" s="233"/>
      <c r="J48" s="233"/>
      <c r="K48" s="233"/>
      <c r="L48" s="92"/>
      <c r="M48" s="92"/>
      <c r="N48" s="92"/>
      <c r="O48" s="92"/>
      <c r="P48" s="92"/>
      <c r="Q48" s="92"/>
      <c r="R48" s="92"/>
      <c r="S48" s="233"/>
      <c r="T48" s="233"/>
      <c r="U48" s="233"/>
      <c r="V48" s="233"/>
      <c r="W48" s="92"/>
      <c r="X48" s="92"/>
      <c r="Y48" s="92"/>
      <c r="Z48" s="92"/>
      <c r="AA48" s="371"/>
      <c r="AB48" s="371"/>
      <c r="AC48" s="371"/>
      <c r="AD48" s="3"/>
      <c r="AF48" s="3"/>
      <c r="AG48" s="3"/>
      <c r="AH48" s="3"/>
      <c r="AI48" s="3"/>
    </row>
    <row r="49" spans="1:35" ht="12.75" customHeight="1">
      <c r="A49" s="279"/>
      <c r="B49" s="7"/>
      <c r="C49" s="92"/>
      <c r="D49" s="92"/>
      <c r="E49" s="233"/>
      <c r="F49" s="532"/>
      <c r="G49" s="233"/>
      <c r="H49" s="233"/>
      <c r="I49" s="233"/>
      <c r="J49" s="233"/>
      <c r="K49" s="233"/>
      <c r="L49" s="92"/>
      <c r="M49" s="92"/>
      <c r="N49" s="92"/>
      <c r="O49" s="92"/>
      <c r="P49" s="92"/>
      <c r="Q49" s="92"/>
      <c r="R49" s="92"/>
      <c r="S49" s="233"/>
      <c r="T49" s="233"/>
      <c r="U49" s="233"/>
      <c r="V49" s="233"/>
      <c r="W49" s="92"/>
      <c r="X49" s="92"/>
      <c r="Y49" s="92"/>
      <c r="Z49" s="92"/>
      <c r="AA49" s="371"/>
      <c r="AB49" s="371"/>
      <c r="AC49" s="371"/>
      <c r="AD49" s="3"/>
      <c r="AF49" s="3"/>
      <c r="AG49" s="3"/>
      <c r="AH49" s="3"/>
      <c r="AI49" s="3"/>
    </row>
    <row r="50" spans="1:35" ht="12.75" customHeight="1">
      <c r="A50" s="6"/>
      <c r="B50" s="7"/>
      <c r="C50" s="611" t="str">
        <f>C9</f>
        <v>Q4/09 vs. Q4/08</v>
      </c>
      <c r="D50" s="629"/>
      <c r="E50" s="15"/>
      <c r="F50" s="282"/>
      <c r="G50" s="281"/>
      <c r="H50" s="281"/>
      <c r="I50" s="250"/>
      <c r="J50" s="281"/>
      <c r="K50" s="281"/>
      <c r="L50" s="281"/>
      <c r="M50" s="281"/>
      <c r="N50" s="282"/>
      <c r="O50" s="250"/>
      <c r="P50" s="250"/>
      <c r="Q50" s="250"/>
      <c r="R50" s="99"/>
      <c r="S50" s="611" t="str">
        <f>S9</f>
        <v>FY09 vs FY08</v>
      </c>
      <c r="T50" s="640"/>
      <c r="U50" s="640"/>
      <c r="V50" s="641"/>
      <c r="W50" s="15"/>
      <c r="X50" s="98"/>
      <c r="Y50" s="282"/>
      <c r="Z50" s="280"/>
      <c r="AA50" s="98"/>
      <c r="AB50" s="98"/>
      <c r="AC50" s="98"/>
      <c r="AD50" s="3"/>
      <c r="AF50" s="3"/>
      <c r="AG50" s="3"/>
      <c r="AH50" s="3"/>
      <c r="AI50" s="3"/>
    </row>
    <row r="51" spans="1:35" ht="12.75" customHeight="1">
      <c r="A51" s="6" t="s">
        <v>199</v>
      </c>
      <c r="B51" s="7"/>
      <c r="C51" s="635" t="s">
        <v>51</v>
      </c>
      <c r="D51" s="636"/>
      <c r="E51" s="283"/>
      <c r="F51" s="20" t="s">
        <v>166</v>
      </c>
      <c r="G51" s="21" t="s">
        <v>167</v>
      </c>
      <c r="H51" s="21" t="s">
        <v>168</v>
      </c>
      <c r="I51" s="14" t="s">
        <v>42</v>
      </c>
      <c r="J51" s="21" t="s">
        <v>43</v>
      </c>
      <c r="K51" s="21" t="s">
        <v>44</v>
      </c>
      <c r="L51" s="21" t="s">
        <v>45</v>
      </c>
      <c r="M51" s="21" t="s">
        <v>46</v>
      </c>
      <c r="N51" s="20" t="s">
        <v>47</v>
      </c>
      <c r="O51" s="14" t="s">
        <v>48</v>
      </c>
      <c r="P51" s="14" t="s">
        <v>49</v>
      </c>
      <c r="Q51" s="14" t="s">
        <v>50</v>
      </c>
      <c r="R51" s="345"/>
      <c r="S51" s="318" t="str">
        <f>S10</f>
        <v>FY09</v>
      </c>
      <c r="T51" s="15" t="str">
        <f>T10</f>
        <v>FY08</v>
      </c>
      <c r="U51" s="637" t="s">
        <v>51</v>
      </c>
      <c r="V51" s="638"/>
      <c r="W51" s="283"/>
      <c r="X51" s="20" t="s">
        <v>55</v>
      </c>
      <c r="Y51" s="20" t="s">
        <v>52</v>
      </c>
      <c r="Z51" s="23" t="s">
        <v>53</v>
      </c>
      <c r="AA51" s="23" t="s">
        <v>242</v>
      </c>
      <c r="AB51" s="23" t="s">
        <v>243</v>
      </c>
      <c r="AC51" s="23" t="s">
        <v>249</v>
      </c>
      <c r="AD51" s="3"/>
      <c r="AF51" s="3"/>
      <c r="AG51" s="3"/>
      <c r="AH51" s="3"/>
      <c r="AI51" s="3"/>
    </row>
    <row r="52" spans="1:35" ht="12.75" customHeight="1">
      <c r="A52" s="232"/>
      <c r="B52" s="233" t="s">
        <v>4</v>
      </c>
      <c r="C52" s="93">
        <f>F52-J52</f>
        <v>-12993</v>
      </c>
      <c r="D52" s="44">
        <f>C52/J52</f>
        <v>-0.1666517026871032</v>
      </c>
      <c r="E52" s="233"/>
      <c r="F52" s="590">
        <f>F20</f>
        <v>64972</v>
      </c>
      <c r="G52" s="568">
        <f>G20</f>
        <v>49250</v>
      </c>
      <c r="H52" s="530">
        <v>58336</v>
      </c>
      <c r="I52" s="463">
        <v>104793</v>
      </c>
      <c r="J52" s="298">
        <v>77965</v>
      </c>
      <c r="K52" s="298">
        <v>109583</v>
      </c>
      <c r="L52" s="298">
        <v>89071</v>
      </c>
      <c r="M52" s="298">
        <v>155023</v>
      </c>
      <c r="N52" s="310">
        <v>130151</v>
      </c>
      <c r="O52" s="302">
        <v>101427</v>
      </c>
      <c r="P52" s="302">
        <v>93033</v>
      </c>
      <c r="Q52" s="311">
        <v>125106</v>
      </c>
      <c r="R52" s="99"/>
      <c r="S52" s="310">
        <f aca="true" t="shared" si="12" ref="S52:T54">X52</f>
        <v>277351</v>
      </c>
      <c r="T52" s="420">
        <f t="shared" si="12"/>
        <v>431642</v>
      </c>
      <c r="U52" s="420">
        <f>S52-T52</f>
        <v>-154291</v>
      </c>
      <c r="V52" s="418">
        <f>U52/T52</f>
        <v>-0.3574513138202492</v>
      </c>
      <c r="W52" s="92"/>
      <c r="X52" s="265">
        <f>F52+G52+H52+I52</f>
        <v>277351</v>
      </c>
      <c r="Y52" s="310">
        <v>431642</v>
      </c>
      <c r="Z52" s="312">
        <v>449717</v>
      </c>
      <c r="AA52" s="374">
        <v>333666</v>
      </c>
      <c r="AB52" s="374">
        <v>239654</v>
      </c>
      <c r="AC52" s="374">
        <v>211758</v>
      </c>
      <c r="AD52" s="3"/>
      <c r="AF52" s="3"/>
      <c r="AG52" s="3"/>
      <c r="AH52" s="3"/>
      <c r="AI52" s="3"/>
    </row>
    <row r="53" spans="1:35" ht="12.75" customHeight="1">
      <c r="A53" s="92"/>
      <c r="B53" s="233" t="s">
        <v>163</v>
      </c>
      <c r="C53" s="93">
        <f>F53-J53</f>
        <v>-18640</v>
      </c>
      <c r="D53" s="44">
        <f>C53/J53</f>
        <v>-0.254791000300719</v>
      </c>
      <c r="E53" s="11"/>
      <c r="F53" s="503">
        <f>F22+F23+F24+F25+F26+F27+F28+F29+F30</f>
        <v>54518</v>
      </c>
      <c r="G53" s="530">
        <f>G22+G23+G24+G25+G26+G27+G28+G29+G30</f>
        <v>58297</v>
      </c>
      <c r="H53" s="530">
        <v>63150</v>
      </c>
      <c r="I53" s="463">
        <v>85020</v>
      </c>
      <c r="J53" s="298">
        <v>73158</v>
      </c>
      <c r="K53" s="298">
        <v>86348</v>
      </c>
      <c r="L53" s="298">
        <v>72982</v>
      </c>
      <c r="M53" s="298">
        <v>106349</v>
      </c>
      <c r="N53" s="260">
        <v>100905</v>
      </c>
      <c r="O53" s="302">
        <v>75317</v>
      </c>
      <c r="P53" s="302">
        <v>70703</v>
      </c>
      <c r="Q53" s="302">
        <v>91522</v>
      </c>
      <c r="R53" s="99"/>
      <c r="S53" s="260">
        <f t="shared" si="12"/>
        <v>260985</v>
      </c>
      <c r="T53" s="298">
        <f t="shared" si="12"/>
        <v>338837</v>
      </c>
      <c r="U53" s="298">
        <f>S53-T53</f>
        <v>-77852</v>
      </c>
      <c r="V53" s="44">
        <f>U53/T53</f>
        <v>-0.2297623931270788</v>
      </c>
      <c r="W53" s="92"/>
      <c r="X53" s="265">
        <f>F53+G53+H53+I53</f>
        <v>260985</v>
      </c>
      <c r="Y53" s="260">
        <v>338837</v>
      </c>
      <c r="Z53" s="246">
        <v>338447</v>
      </c>
      <c r="AA53" s="37">
        <v>231683</v>
      </c>
      <c r="AB53" s="42">
        <v>173735</v>
      </c>
      <c r="AC53" s="42">
        <v>154490</v>
      </c>
      <c r="AD53" s="3"/>
      <c r="AF53" s="3"/>
      <c r="AG53" s="3"/>
      <c r="AH53" s="3"/>
      <c r="AI53" s="3"/>
    </row>
    <row r="54" spans="1:35" ht="12.75" customHeight="1">
      <c r="A54" s="92"/>
      <c r="B54" s="233" t="s">
        <v>151</v>
      </c>
      <c r="C54" s="239">
        <f>F54-J54</f>
        <v>5647</v>
      </c>
      <c r="D54" s="240">
        <f>C54/J54</f>
        <v>1.1747451633035157</v>
      </c>
      <c r="E54" s="11"/>
      <c r="F54" s="554">
        <f>F52-F53</f>
        <v>10454</v>
      </c>
      <c r="G54" s="543">
        <f>G52-G53</f>
        <v>-9047</v>
      </c>
      <c r="H54" s="543">
        <v>-4814</v>
      </c>
      <c r="I54" s="465">
        <v>19773</v>
      </c>
      <c r="J54" s="304">
        <v>4807</v>
      </c>
      <c r="K54" s="304">
        <v>23235</v>
      </c>
      <c r="L54" s="304">
        <v>16089</v>
      </c>
      <c r="M54" s="304">
        <v>48674</v>
      </c>
      <c r="N54" s="297">
        <v>29246</v>
      </c>
      <c r="O54" s="305">
        <v>26110</v>
      </c>
      <c r="P54" s="305">
        <v>22330</v>
      </c>
      <c r="Q54" s="305">
        <v>33584</v>
      </c>
      <c r="R54" s="99"/>
      <c r="S54" s="297">
        <f t="shared" si="12"/>
        <v>16366</v>
      </c>
      <c r="T54" s="304">
        <f t="shared" si="12"/>
        <v>92805</v>
      </c>
      <c r="U54" s="304">
        <f>S54-T54</f>
        <v>-76439</v>
      </c>
      <c r="V54" s="240">
        <f>U54/T54</f>
        <v>-0.8236517429017833</v>
      </c>
      <c r="W54" s="92"/>
      <c r="X54" s="284">
        <f>F54+G54+H54+I54</f>
        <v>16366</v>
      </c>
      <c r="Y54" s="297">
        <v>92805</v>
      </c>
      <c r="Z54" s="292">
        <v>111270</v>
      </c>
      <c r="AA54" s="245">
        <v>101983</v>
      </c>
      <c r="AB54" s="245">
        <v>65919</v>
      </c>
      <c r="AC54" s="245">
        <v>57268</v>
      </c>
      <c r="AD54" s="3"/>
      <c r="AF54" s="3"/>
      <c r="AG54" s="3"/>
      <c r="AH54" s="3"/>
      <c r="AI54" s="3"/>
    </row>
    <row r="55" spans="1:35" ht="12.75" customHeight="1">
      <c r="A55" s="92"/>
      <c r="B55" s="233"/>
      <c r="C55" s="238"/>
      <c r="D55" s="11"/>
      <c r="E55" s="11"/>
      <c r="F55" s="11"/>
      <c r="G55" s="11"/>
      <c r="H55" s="11"/>
      <c r="I55" s="233"/>
      <c r="J55" s="92"/>
      <c r="K55" s="92"/>
      <c r="L55" s="92"/>
      <c r="M55" s="92"/>
      <c r="N55" s="92"/>
      <c r="O55" s="92"/>
      <c r="P55" s="92"/>
      <c r="Q55" s="92"/>
      <c r="R55" s="233"/>
      <c r="S55" s="233"/>
      <c r="T55" s="233"/>
      <c r="U55" s="238"/>
      <c r="V55" s="11"/>
      <c r="W55" s="233"/>
      <c r="X55" s="233"/>
      <c r="Y55" s="92"/>
      <c r="Z55" s="92"/>
      <c r="AA55" s="30"/>
      <c r="AB55" s="30"/>
      <c r="AC55" s="30"/>
      <c r="AD55" s="3"/>
      <c r="AF55" s="3"/>
      <c r="AG55" s="3"/>
      <c r="AH55" s="3"/>
      <c r="AI55" s="3"/>
    </row>
    <row r="56" spans="1:35" ht="12.75" customHeight="1">
      <c r="A56" s="92"/>
      <c r="B56" s="230" t="s">
        <v>155</v>
      </c>
      <c r="C56" s="294">
        <f>(F56-J56)*100</f>
        <v>-5.776243295490369</v>
      </c>
      <c r="D56" s="11"/>
      <c r="E56" s="11"/>
      <c r="F56" s="11">
        <f>(F24+F25+F26+F27+F28+F29+F30)/F20</f>
        <v>0.32006094933201995</v>
      </c>
      <c r="G56" s="11">
        <f>(G24+G25+G26+G27+G28+G29+G30)/G20</f>
        <v>0.5284670050761421</v>
      </c>
      <c r="H56" s="11">
        <v>0.5011142347778387</v>
      </c>
      <c r="I56" s="11">
        <v>0.2697508421364022</v>
      </c>
      <c r="J56" s="34">
        <v>0.37782338228692364</v>
      </c>
      <c r="K56" s="34">
        <v>0.22941514650995137</v>
      </c>
      <c r="L56" s="34">
        <v>0.30967430476810637</v>
      </c>
      <c r="M56" s="34">
        <v>0.16900000000000004</v>
      </c>
      <c r="N56" s="34">
        <v>0.21100000000000008</v>
      </c>
      <c r="O56" s="34">
        <v>0.20399999999999996</v>
      </c>
      <c r="P56" s="34">
        <v>0.249</v>
      </c>
      <c r="Q56" s="34">
        <v>0.17899999999999994</v>
      </c>
      <c r="R56" s="233"/>
      <c r="S56" s="34">
        <f aca="true" t="shared" si="13" ref="S56:T58">X56</f>
        <v>0.3761407025754369</v>
      </c>
      <c r="T56" s="34">
        <f t="shared" si="13"/>
        <v>0.2509185853091219</v>
      </c>
      <c r="U56" s="247">
        <f>(S56-T56)*100</f>
        <v>12.522211726631499</v>
      </c>
      <c r="V56" s="11"/>
      <c r="W56" s="233"/>
      <c r="X56" s="34">
        <f>(X24+X25+X26+X27+X28+X29+X30+X31)/X52</f>
        <v>0.3761407025754369</v>
      </c>
      <c r="Y56" s="34">
        <v>0.2509185853091219</v>
      </c>
      <c r="Z56" s="34">
        <v>0.20899999999999996</v>
      </c>
      <c r="AA56" s="230">
        <v>0.1419999999999999</v>
      </c>
      <c r="AB56" s="230">
        <v>0.134</v>
      </c>
      <c r="AC56" s="230">
        <v>0.10299999999999998</v>
      </c>
      <c r="AD56" s="3"/>
      <c r="AF56" s="3"/>
      <c r="AG56" s="3"/>
      <c r="AH56" s="3"/>
      <c r="AI56" s="3"/>
    </row>
    <row r="57" spans="1:35" ht="12.75" customHeight="1">
      <c r="A57" s="92"/>
      <c r="B57" s="230" t="s">
        <v>156</v>
      </c>
      <c r="C57" s="294">
        <f>(F57-J57)*100</f>
        <v>-9.924420881020913</v>
      </c>
      <c r="D57" s="11"/>
      <c r="E57" s="11"/>
      <c r="F57" s="11">
        <f>F53/F52</f>
        <v>0.8390999199655236</v>
      </c>
      <c r="G57" s="11">
        <f>G53/G52</f>
        <v>1.1836954314720811</v>
      </c>
      <c r="H57" s="11">
        <v>1.0825219418540866</v>
      </c>
      <c r="I57" s="11">
        <v>0.8113137327874953</v>
      </c>
      <c r="J57" s="34">
        <v>0.9383441287757327</v>
      </c>
      <c r="K57" s="34">
        <v>0.7879689367876405</v>
      </c>
      <c r="L57" s="34">
        <v>0.8193688181338483</v>
      </c>
      <c r="M57" s="34">
        <v>0.686</v>
      </c>
      <c r="N57" s="34">
        <v>0.775</v>
      </c>
      <c r="O57" s="34">
        <v>0.743</v>
      </c>
      <c r="P57" s="34">
        <v>0.76</v>
      </c>
      <c r="Q57" s="34">
        <v>0.732</v>
      </c>
      <c r="R57" s="233"/>
      <c r="S57" s="34">
        <f t="shared" si="13"/>
        <v>0.9409917397088887</v>
      </c>
      <c r="T57" s="34">
        <f t="shared" si="13"/>
        <v>0.7849954360326381</v>
      </c>
      <c r="U57" s="247">
        <f>(S57-T57)*100</f>
        <v>15.59963036762506</v>
      </c>
      <c r="V57" s="11"/>
      <c r="W57" s="233"/>
      <c r="X57" s="34">
        <f>X53/X52</f>
        <v>0.9409917397088887</v>
      </c>
      <c r="Y57" s="34">
        <v>0.7849954360326381</v>
      </c>
      <c r="Z57" s="34">
        <v>0.753</v>
      </c>
      <c r="AA57" s="230">
        <v>0.694</v>
      </c>
      <c r="AB57" s="230">
        <v>0.725</v>
      </c>
      <c r="AC57" s="230">
        <v>0.73</v>
      </c>
      <c r="AD57" s="3"/>
      <c r="AF57" s="3"/>
      <c r="AG57" s="3"/>
      <c r="AH57" s="3"/>
      <c r="AI57" s="3"/>
    </row>
    <row r="58" spans="1:29" ht="12.75" customHeight="1">
      <c r="A58" s="92"/>
      <c r="B58" s="230" t="s">
        <v>157</v>
      </c>
      <c r="C58" s="294">
        <f>(F58-J58)*100</f>
        <v>9.92442088102091</v>
      </c>
      <c r="D58" s="11"/>
      <c r="E58" s="11"/>
      <c r="F58" s="11">
        <f>F54/F52</f>
        <v>0.1609000800344764</v>
      </c>
      <c r="G58" s="11">
        <f>G54/G52</f>
        <v>-0.18369543147208123</v>
      </c>
      <c r="H58" s="11">
        <v>-0.08252194185408666</v>
      </c>
      <c r="I58" s="11">
        <v>0.18868626721250464</v>
      </c>
      <c r="J58" s="34">
        <v>0.0616558712242673</v>
      </c>
      <c r="K58" s="34">
        <v>0.2120310632123596</v>
      </c>
      <c r="L58" s="34">
        <v>0.18063118186615174</v>
      </c>
      <c r="M58" s="34">
        <v>0.31399999999999995</v>
      </c>
      <c r="N58" s="34">
        <v>0.225</v>
      </c>
      <c r="O58" s="34">
        <v>0.257</v>
      </c>
      <c r="P58" s="34">
        <v>0.24</v>
      </c>
      <c r="Q58" s="34">
        <v>0.268</v>
      </c>
      <c r="R58" s="233"/>
      <c r="S58" s="34">
        <f t="shared" si="13"/>
        <v>0.05900826029111126</v>
      </c>
      <c r="T58" s="34">
        <f t="shared" si="13"/>
        <v>0.21500456396736184</v>
      </c>
      <c r="U58" s="247">
        <f>(S58-T58)*100</f>
        <v>-15.599630367625059</v>
      </c>
      <c r="V58" s="11"/>
      <c r="W58" s="233"/>
      <c r="X58" s="34">
        <f>X54/X52</f>
        <v>0.05900826029111126</v>
      </c>
      <c r="Y58" s="34">
        <v>0.21500456396736184</v>
      </c>
      <c r="Z58" s="34">
        <v>0.247</v>
      </c>
      <c r="AA58" s="230">
        <v>0.30600000000000005</v>
      </c>
      <c r="AB58" s="230">
        <v>0.275</v>
      </c>
      <c r="AC58" s="230">
        <v>0.27</v>
      </c>
    </row>
    <row r="59" spans="1:29" ht="12.75" customHeight="1">
      <c r="A59" s="279"/>
      <c r="B59" s="7"/>
      <c r="C59" s="233"/>
      <c r="D59" s="233"/>
      <c r="E59" s="233"/>
      <c r="F59" s="233"/>
      <c r="G59" s="233"/>
      <c r="H59" s="233"/>
      <c r="I59" s="233"/>
      <c r="J59" s="233"/>
      <c r="K59" s="233"/>
      <c r="L59" s="233"/>
      <c r="M59" s="7"/>
      <c r="N59" s="233"/>
      <c r="O59" s="7"/>
      <c r="P59" s="7"/>
      <c r="Q59" s="233"/>
      <c r="R59" s="233"/>
      <c r="S59" s="233"/>
      <c r="T59" s="233"/>
      <c r="U59" s="233"/>
      <c r="V59" s="233"/>
      <c r="W59" s="233"/>
      <c r="X59" s="233"/>
      <c r="Y59" s="233"/>
      <c r="Z59" s="233"/>
      <c r="AA59" s="92"/>
      <c r="AB59" s="92"/>
      <c r="AC59" s="92"/>
    </row>
    <row r="60" spans="1:28" ht="12.75" customHeight="1">
      <c r="A60" s="1" t="s">
        <v>41</v>
      </c>
      <c r="B60" s="13"/>
      <c r="C60" s="13"/>
      <c r="D60" s="13"/>
      <c r="E60" s="13"/>
      <c r="F60" s="13"/>
      <c r="G60" s="13"/>
      <c r="H60" s="13"/>
      <c r="I60" s="15"/>
      <c r="J60" s="15"/>
      <c r="K60" s="15"/>
      <c r="L60" s="15"/>
      <c r="M60" s="15"/>
      <c r="N60" s="15"/>
      <c r="O60" s="15"/>
      <c r="P60" s="15"/>
      <c r="Q60" s="15"/>
      <c r="R60" s="3"/>
      <c r="S60" s="3"/>
      <c r="T60" s="3"/>
      <c r="Y60" s="2"/>
      <c r="Z60" s="2"/>
      <c r="AA60" s="92"/>
      <c r="AB60" s="92"/>
    </row>
    <row r="61" spans="1:27" ht="12.75">
      <c r="A61" s="3"/>
      <c r="B61" s="3"/>
      <c r="C61" s="3"/>
      <c r="D61" s="3"/>
      <c r="I61" s="2"/>
      <c r="J61" s="2"/>
      <c r="K61" s="2"/>
      <c r="L61" s="2"/>
      <c r="M61" s="2"/>
      <c r="N61" s="2"/>
      <c r="O61" s="2"/>
      <c r="P61" s="2"/>
      <c r="Q61" s="2"/>
      <c r="R61" s="3"/>
      <c r="S61" s="3"/>
      <c r="T61" s="3"/>
      <c r="Y61" s="30"/>
      <c r="Z61" s="30"/>
      <c r="AA61" s="117"/>
    </row>
    <row r="62" spans="9:26" ht="12.75">
      <c r="I62" s="30"/>
      <c r="Q62" s="30"/>
      <c r="R62" s="3"/>
      <c r="S62" s="3"/>
      <c r="T62" s="3"/>
      <c r="Y62" s="30"/>
      <c r="Z62" s="30"/>
    </row>
    <row r="63" spans="9:26" ht="12.75">
      <c r="I63" s="30"/>
      <c r="Q63" s="30"/>
      <c r="R63" s="3"/>
      <c r="S63" s="3"/>
      <c r="T63" s="3"/>
      <c r="Y63" s="30"/>
      <c r="Z63" s="30"/>
    </row>
    <row r="64" spans="9:26" ht="12.75">
      <c r="I64" s="30"/>
      <c r="Q64" s="30"/>
      <c r="R64" s="3"/>
      <c r="S64" s="3"/>
      <c r="T64" s="3"/>
      <c r="Y64" s="30"/>
      <c r="Z64" s="30"/>
    </row>
    <row r="65" spans="9:26" ht="12.75">
      <c r="I65" s="30"/>
      <c r="Q65" s="30"/>
      <c r="R65" s="3"/>
      <c r="S65" s="3"/>
      <c r="T65" s="3"/>
      <c r="Y65" s="2"/>
      <c r="Z65" s="2"/>
    </row>
    <row r="66" spans="9:26" ht="12.75">
      <c r="I66" s="2"/>
      <c r="Q66" s="235"/>
      <c r="R66" s="3"/>
      <c r="S66" s="3"/>
      <c r="T66" s="3"/>
      <c r="Y66" s="2"/>
      <c r="Z66" s="2"/>
    </row>
    <row r="67" spans="9:26" ht="12.75">
      <c r="I67" s="2"/>
      <c r="Q67" s="236"/>
      <c r="R67" s="3"/>
      <c r="S67" s="3"/>
      <c r="T67" s="3"/>
      <c r="Y67" s="2"/>
      <c r="Z67" s="2"/>
    </row>
    <row r="68" spans="9:26" ht="12.75">
      <c r="I68" s="2"/>
      <c r="Q68" s="236"/>
      <c r="R68" s="3"/>
      <c r="S68" s="3"/>
      <c r="T68" s="3"/>
      <c r="Y68" s="31"/>
      <c r="Z68" s="31"/>
    </row>
    <row r="69" spans="9:26" ht="12.75">
      <c r="I69" s="31"/>
      <c r="Q69" s="11"/>
      <c r="R69" s="3"/>
      <c r="S69" s="3"/>
      <c r="T69" s="3"/>
      <c r="Y69" s="31"/>
      <c r="Z69" s="31"/>
    </row>
    <row r="70" spans="9:26" ht="12.75">
      <c r="I70" s="31"/>
      <c r="Q70" s="11"/>
      <c r="R70" s="3"/>
      <c r="S70" s="3"/>
      <c r="T70" s="3"/>
      <c r="Y70" s="31"/>
      <c r="Z70" s="31"/>
    </row>
    <row r="71" spans="9:26" ht="12.75">
      <c r="I71" s="32"/>
      <c r="Q71" s="32"/>
      <c r="R71" s="3"/>
      <c r="S71" s="3"/>
      <c r="T71" s="3"/>
      <c r="Y71" s="2"/>
      <c r="Z71" s="2"/>
    </row>
    <row r="72" spans="9:26" ht="12.75">
      <c r="I72" s="2"/>
      <c r="Q72" s="237"/>
      <c r="R72" s="3"/>
      <c r="S72" s="3"/>
      <c r="T72" s="3"/>
      <c r="Y72" s="2"/>
      <c r="Z72" s="2"/>
    </row>
    <row r="73" spans="9:26" ht="12.75">
      <c r="I73" s="2"/>
      <c r="J73" s="2"/>
      <c r="M73" s="2"/>
      <c r="O73" s="2"/>
      <c r="P73" s="2"/>
      <c r="Q73" s="2"/>
      <c r="R73" s="3"/>
      <c r="S73" s="3"/>
      <c r="T73" s="3"/>
      <c r="Y73" s="50"/>
      <c r="Z73" s="50"/>
    </row>
    <row r="74" spans="9:26" ht="12.75">
      <c r="I74" s="31"/>
      <c r="J74" s="43"/>
      <c r="K74" s="31"/>
      <c r="L74" s="31"/>
      <c r="M74" s="31"/>
      <c r="N74" s="36"/>
      <c r="O74" s="36"/>
      <c r="P74" s="33"/>
      <c r="Q74" s="1"/>
      <c r="R74" s="3"/>
      <c r="S74" s="3"/>
      <c r="T74" s="3"/>
      <c r="Y74" s="50"/>
      <c r="Z74" s="50"/>
    </row>
    <row r="75" spans="9:26" ht="12.75">
      <c r="I75" s="31"/>
      <c r="J75" s="31"/>
      <c r="K75" s="31"/>
      <c r="L75" s="31"/>
      <c r="M75" s="31"/>
      <c r="N75" s="39"/>
      <c r="O75" s="31"/>
      <c r="P75" s="31"/>
      <c r="Q75" s="31"/>
      <c r="R75" s="3"/>
      <c r="S75" s="3"/>
      <c r="T75" s="3"/>
      <c r="Y75" s="51"/>
      <c r="Z75" s="51"/>
    </row>
    <row r="76" spans="9:26" ht="12.75">
      <c r="I76" s="11"/>
      <c r="J76" s="41"/>
      <c r="K76" s="34"/>
      <c r="L76" s="34"/>
      <c r="M76" s="34"/>
      <c r="N76" s="41"/>
      <c r="O76" s="34"/>
      <c r="P76" s="34"/>
      <c r="Q76" s="46"/>
      <c r="R76" s="3"/>
      <c r="S76" s="3"/>
      <c r="T76" s="3"/>
      <c r="Y76" s="52"/>
      <c r="Z76" s="52"/>
    </row>
    <row r="77" spans="9:26" ht="12.75">
      <c r="I77" s="11"/>
      <c r="J77" s="34"/>
      <c r="K77" s="34"/>
      <c r="L77" s="34"/>
      <c r="M77" s="34"/>
      <c r="N77" s="34"/>
      <c r="O77" s="34"/>
      <c r="P77" s="34"/>
      <c r="Q77" s="46"/>
      <c r="R77" s="3"/>
      <c r="S77" s="3"/>
      <c r="T77" s="3"/>
      <c r="Y77" s="34"/>
      <c r="Z77" s="34"/>
    </row>
    <row r="78" spans="9:26" ht="12.75">
      <c r="I78" s="11"/>
      <c r="J78" s="34"/>
      <c r="K78" s="34"/>
      <c r="L78" s="34"/>
      <c r="M78" s="34"/>
      <c r="N78" s="34"/>
      <c r="O78" s="34"/>
      <c r="P78" s="34"/>
      <c r="Q78" s="40"/>
      <c r="R78" s="3"/>
      <c r="S78" s="3"/>
      <c r="T78" s="3"/>
      <c r="Y78" s="34"/>
      <c r="Z78" s="34"/>
    </row>
    <row r="79" spans="9:26" ht="12.75">
      <c r="I79" s="34"/>
      <c r="J79" s="34"/>
      <c r="K79" s="34"/>
      <c r="L79" s="34"/>
      <c r="M79" s="34"/>
      <c r="N79" s="34"/>
      <c r="O79" s="34"/>
      <c r="P79" s="34"/>
      <c r="Q79" s="34"/>
      <c r="R79" s="3"/>
      <c r="S79" s="3"/>
      <c r="T79" s="3"/>
      <c r="Y79" s="35"/>
      <c r="Z79" s="35"/>
    </row>
    <row r="80" spans="9:26" ht="12.75">
      <c r="I80" s="35"/>
      <c r="J80" s="35"/>
      <c r="K80" s="35"/>
      <c r="L80" s="35"/>
      <c r="M80" s="35"/>
      <c r="N80" s="35"/>
      <c r="O80" s="35"/>
      <c r="P80" s="35"/>
      <c r="Q80" s="35"/>
      <c r="R80" s="3"/>
      <c r="S80" s="3"/>
      <c r="T80" s="3"/>
      <c r="Y80" s="35"/>
      <c r="Z80" s="35"/>
    </row>
    <row r="81" spans="9:26" ht="12.75">
      <c r="I81" s="35"/>
      <c r="J81" s="35"/>
      <c r="K81" s="35"/>
      <c r="L81" s="35"/>
      <c r="M81" s="35"/>
      <c r="N81" s="35"/>
      <c r="O81" s="35"/>
      <c r="P81" s="35"/>
      <c r="Q81" s="35"/>
      <c r="R81" s="3"/>
      <c r="S81" s="3"/>
      <c r="T81" s="3"/>
      <c r="Y81" s="3"/>
      <c r="Z81" s="3"/>
    </row>
    <row r="82" spans="9:26" ht="12.75">
      <c r="I82" s="3"/>
      <c r="J82" s="3"/>
      <c r="K82" s="3"/>
      <c r="L82" s="3"/>
      <c r="M82" s="3"/>
      <c r="N82" s="3"/>
      <c r="O82" s="3"/>
      <c r="P82" s="3"/>
      <c r="Q82" s="3"/>
      <c r="R82" s="3"/>
      <c r="S82" s="3"/>
      <c r="T82" s="3"/>
      <c r="Y82" s="3"/>
      <c r="Z82" s="3"/>
    </row>
    <row r="83" spans="9:26" ht="12.75">
      <c r="I83" s="3"/>
      <c r="J83" s="3"/>
      <c r="K83" s="3"/>
      <c r="L83" s="3"/>
      <c r="M83" s="3"/>
      <c r="N83" s="3"/>
      <c r="O83" s="3"/>
      <c r="P83" s="3"/>
      <c r="Q83" s="3"/>
      <c r="R83" s="3"/>
      <c r="S83" s="3"/>
      <c r="T83" s="3"/>
      <c r="Y83" s="3"/>
      <c r="Z83" s="3"/>
    </row>
    <row r="84" spans="9:26" ht="12.75">
      <c r="I84" s="3"/>
      <c r="J84" s="3"/>
      <c r="K84" s="3"/>
      <c r="L84" s="3"/>
      <c r="M84" s="3"/>
      <c r="N84" s="3"/>
      <c r="O84" s="3"/>
      <c r="P84" s="3"/>
      <c r="Q84" s="3"/>
      <c r="R84" s="3"/>
      <c r="S84" s="3"/>
      <c r="T84" s="3"/>
      <c r="Y84" s="3"/>
      <c r="Z84" s="3"/>
    </row>
    <row r="85" spans="9:26" ht="12.75">
      <c r="I85" s="3"/>
      <c r="J85" s="3"/>
      <c r="K85" s="3"/>
      <c r="L85" s="3"/>
      <c r="M85" s="3"/>
      <c r="N85" s="3"/>
      <c r="O85" s="3"/>
      <c r="P85" s="3"/>
      <c r="Q85" s="3"/>
      <c r="R85" s="3"/>
      <c r="S85" s="3"/>
      <c r="T85" s="3"/>
      <c r="Y85" s="3"/>
      <c r="Z85" s="3"/>
    </row>
    <row r="86" spans="9:20" ht="12.75">
      <c r="I86" s="3"/>
      <c r="J86" s="3"/>
      <c r="K86" s="3"/>
      <c r="L86" s="3"/>
      <c r="M86" s="3"/>
      <c r="N86" s="3"/>
      <c r="O86" s="3"/>
      <c r="P86" s="3"/>
      <c r="Q86" s="3"/>
      <c r="R86" s="3"/>
      <c r="S86" s="3"/>
      <c r="T86" s="3"/>
    </row>
  </sheetData>
  <mergeCells count="9">
    <mergeCell ref="U51:V51"/>
    <mergeCell ref="C9:D9"/>
    <mergeCell ref="C10:D10"/>
    <mergeCell ref="C50:D50"/>
    <mergeCell ref="C51:D51"/>
    <mergeCell ref="S8:V8"/>
    <mergeCell ref="S9:V9"/>
    <mergeCell ref="S50:V50"/>
    <mergeCell ref="U10:V10"/>
  </mergeCells>
  <conditionalFormatting sqref="A59 S56:T58 A38:B41 X40:Z44 X56:Z58 J40:Q44 J56:Q58 S40:T44 A48:A49">
    <cfRule type="cellIs" priority="1" dxfId="0" operator="equal" stopIfTrue="1">
      <formula>0</formula>
    </cfRule>
  </conditionalFormatting>
  <printOptions/>
  <pageMargins left="0.26" right="0.25" top="0.41" bottom="0.59" header="0.38" footer="0.36"/>
  <pageSetup horizontalDpi="600" verticalDpi="600" orientation="landscape" scale="55" r:id="rId2"/>
  <headerFooter alignWithMargins="0">
    <oddFooter>&amp;LCCI Supplementary Fiscal Q4/09 - May 20, 2009&amp;CPage 3</oddFooter>
  </headerFooter>
  <ignoredErrors>
    <ignoredError sqref="X17" formula="1"/>
  </ignoredErrors>
  <drawing r:id="rId1"/>
</worksheet>
</file>

<file path=xl/worksheets/sheet6.xml><?xml version="1.0" encoding="utf-8"?>
<worksheet xmlns="http://schemas.openxmlformats.org/spreadsheetml/2006/main" xmlns:r="http://schemas.openxmlformats.org/officeDocument/2006/relationships">
  <dimension ref="A5:AK82"/>
  <sheetViews>
    <sheetView zoomScale="75" zoomScaleNormal="75" workbookViewId="0" topLeftCell="A1">
      <pane ySplit="10" topLeftCell="BM11" activePane="bottomLeft" state="frozen"/>
      <selection pane="topLeft" activeCell="B36" sqref="B36:L37"/>
      <selection pane="bottomLeft" activeCell="B36" sqref="B36:L37"/>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8" width="9.7109375" style="3" customWidth="1"/>
    <col min="9" max="14" width="9.7109375" style="0" customWidth="1"/>
    <col min="15" max="17" width="9.7109375" style="0" hidden="1" customWidth="1"/>
    <col min="18" max="18" width="1.57421875" style="0" customWidth="1"/>
    <col min="19" max="20" width="9.7109375" style="0" hidden="1" customWidth="1"/>
    <col min="21" max="22" width="9.7109375" style="0" customWidth="1"/>
    <col min="23" max="23" width="1.57421875" style="0" customWidth="1"/>
    <col min="24" max="28" width="9.7109375" style="0" customWidth="1"/>
    <col min="29" max="29" width="9.7109375" style="0" hidden="1" customWidth="1"/>
    <col min="30" max="30" width="1.57421875" style="0" customWidth="1"/>
  </cols>
  <sheetData>
    <row r="1" ht="12.75"/>
    <row r="2" ht="12.75"/>
    <row r="3" ht="12.75"/>
    <row r="4" ht="12.75"/>
    <row r="5" spans="1:11" ht="12.75">
      <c r="A5" s="3"/>
      <c r="B5" s="3"/>
      <c r="C5" s="3"/>
      <c r="D5" s="3"/>
      <c r="I5" s="3"/>
      <c r="J5" s="3"/>
      <c r="K5" s="3"/>
    </row>
    <row r="6" spans="1:11" ht="18" customHeight="1">
      <c r="A6" s="146" t="s">
        <v>184</v>
      </c>
      <c r="B6" s="3"/>
      <c r="C6" s="3"/>
      <c r="D6" s="3"/>
      <c r="I6" s="3"/>
      <c r="J6" s="3"/>
      <c r="K6" s="3"/>
    </row>
    <row r="7" spans="1:11" ht="18" customHeight="1">
      <c r="A7" s="146" t="s">
        <v>239</v>
      </c>
      <c r="B7" s="5"/>
      <c r="C7" s="5"/>
      <c r="D7" s="5"/>
      <c r="E7" s="5"/>
      <c r="F7" s="5"/>
      <c r="G7" s="5"/>
      <c r="H7" s="5"/>
      <c r="I7" s="3"/>
      <c r="J7" s="3"/>
      <c r="K7" s="3"/>
    </row>
    <row r="8" spans="1:29" ht="9.75" customHeight="1">
      <c r="A8" s="2"/>
      <c r="B8" s="2"/>
      <c r="C8" s="2"/>
      <c r="D8" s="2"/>
      <c r="E8" s="2"/>
      <c r="F8" s="563"/>
      <c r="G8" s="2"/>
      <c r="H8" s="2"/>
      <c r="I8" s="3"/>
      <c r="J8" s="3"/>
      <c r="K8" s="3"/>
      <c r="S8" s="639"/>
      <c r="T8" s="639"/>
      <c r="U8" s="639"/>
      <c r="V8" s="639"/>
      <c r="AA8" s="3"/>
      <c r="AB8" s="3"/>
      <c r="AC8" s="3"/>
    </row>
    <row r="9" spans="1:29" ht="12.75">
      <c r="A9" s="6" t="s">
        <v>1</v>
      </c>
      <c r="B9" s="7"/>
      <c r="C9" s="611" t="s">
        <v>286</v>
      </c>
      <c r="D9" s="629"/>
      <c r="E9" s="15"/>
      <c r="F9" s="25"/>
      <c r="G9" s="18"/>
      <c r="H9" s="18"/>
      <c r="I9" s="19"/>
      <c r="J9" s="18"/>
      <c r="K9" s="18"/>
      <c r="L9" s="18"/>
      <c r="M9" s="18"/>
      <c r="N9" s="22"/>
      <c r="O9" s="19"/>
      <c r="P9" s="19"/>
      <c r="Q9" s="19"/>
      <c r="R9" s="24"/>
      <c r="S9" s="611" t="s">
        <v>285</v>
      </c>
      <c r="T9" s="602"/>
      <c r="U9" s="602"/>
      <c r="V9" s="603"/>
      <c r="W9" s="15"/>
      <c r="X9" s="98"/>
      <c r="Y9" s="17"/>
      <c r="Z9" s="22"/>
      <c r="AA9" s="98"/>
      <c r="AB9" s="363"/>
      <c r="AC9" s="363"/>
    </row>
    <row r="10" spans="1:37" ht="13.5">
      <c r="A10" s="6" t="s">
        <v>2</v>
      </c>
      <c r="B10" s="7"/>
      <c r="C10" s="630" t="s">
        <v>51</v>
      </c>
      <c r="D10" s="631"/>
      <c r="E10" s="16"/>
      <c r="F10" s="20" t="s">
        <v>166</v>
      </c>
      <c r="G10" s="21" t="s">
        <v>167</v>
      </c>
      <c r="H10" s="21" t="s">
        <v>168</v>
      </c>
      <c r="I10" s="14" t="s">
        <v>42</v>
      </c>
      <c r="J10" s="21" t="s">
        <v>43</v>
      </c>
      <c r="K10" s="21" t="s">
        <v>44</v>
      </c>
      <c r="L10" s="21" t="s">
        <v>45</v>
      </c>
      <c r="M10" s="21" t="s">
        <v>46</v>
      </c>
      <c r="N10" s="23" t="s">
        <v>47</v>
      </c>
      <c r="O10" s="14" t="s">
        <v>48</v>
      </c>
      <c r="P10" s="14" t="s">
        <v>49</v>
      </c>
      <c r="Q10" s="14" t="s">
        <v>50</v>
      </c>
      <c r="R10" s="345"/>
      <c r="S10" s="318" t="s">
        <v>55</v>
      </c>
      <c r="T10" s="15" t="s">
        <v>52</v>
      </c>
      <c r="U10" s="607" t="s">
        <v>51</v>
      </c>
      <c r="V10" s="608"/>
      <c r="W10" s="16"/>
      <c r="X10" s="20" t="s">
        <v>55</v>
      </c>
      <c r="Y10" s="20" t="s">
        <v>52</v>
      </c>
      <c r="Z10" s="23" t="s">
        <v>53</v>
      </c>
      <c r="AA10" s="23" t="s">
        <v>242</v>
      </c>
      <c r="AB10" s="23" t="s">
        <v>243</v>
      </c>
      <c r="AC10" s="23" t="s">
        <v>249</v>
      </c>
      <c r="AD10" s="3"/>
      <c r="AE10" s="3"/>
      <c r="AF10" s="3"/>
      <c r="AI10" s="3"/>
      <c r="AJ10" s="3"/>
      <c r="AK10" s="3"/>
    </row>
    <row r="11" spans="1:35" ht="12.75" customHeight="1">
      <c r="A11" s="227" t="s">
        <v>136</v>
      </c>
      <c r="B11" s="8"/>
      <c r="C11" s="249"/>
      <c r="D11" s="250"/>
      <c r="E11" s="233"/>
      <c r="F11" s="249"/>
      <c r="G11" s="233"/>
      <c r="H11" s="233"/>
      <c r="I11" s="251"/>
      <c r="J11" s="282"/>
      <c r="K11" s="233"/>
      <c r="L11" s="233"/>
      <c r="N11" s="22"/>
      <c r="O11" s="26"/>
      <c r="P11" s="26"/>
      <c r="Q11" s="19"/>
      <c r="R11" s="99"/>
      <c r="S11" s="282"/>
      <c r="T11" s="281"/>
      <c r="U11" s="281"/>
      <c r="V11" s="250"/>
      <c r="W11" s="92"/>
      <c r="X11" s="99"/>
      <c r="Y11" s="249"/>
      <c r="Z11" s="99"/>
      <c r="AA11" s="379"/>
      <c r="AB11" s="379"/>
      <c r="AC11" s="379"/>
      <c r="AD11" s="3"/>
      <c r="AE11" s="3"/>
      <c r="AF11" s="3"/>
      <c r="AI11" s="3"/>
    </row>
    <row r="12" spans="1:35" ht="12.75" customHeight="1">
      <c r="A12" s="7"/>
      <c r="B12" s="313" t="s">
        <v>169</v>
      </c>
      <c r="C12" s="37">
        <f>F12-J12</f>
        <v>-16947</v>
      </c>
      <c r="D12" s="29">
        <f>C12/J12</f>
        <v>-0.3156688894683903</v>
      </c>
      <c r="E12" s="40"/>
      <c r="F12" s="575">
        <v>36739</v>
      </c>
      <c r="G12" s="529">
        <v>33072</v>
      </c>
      <c r="H12" s="529">
        <v>43016</v>
      </c>
      <c r="I12" s="302">
        <v>56801</v>
      </c>
      <c r="J12" s="261">
        <v>53686</v>
      </c>
      <c r="K12" s="252">
        <v>60447</v>
      </c>
      <c r="L12" s="252">
        <v>56588</v>
      </c>
      <c r="M12" s="253">
        <v>74990</v>
      </c>
      <c r="N12" s="263">
        <v>74727</v>
      </c>
      <c r="O12" s="253">
        <v>67907</v>
      </c>
      <c r="P12" s="253">
        <v>54960</v>
      </c>
      <c r="Q12" s="253">
        <v>70996</v>
      </c>
      <c r="R12" s="99"/>
      <c r="S12" s="317">
        <f aca="true" t="shared" si="0" ref="S12:T14">X12</f>
        <v>169628</v>
      </c>
      <c r="T12" s="400">
        <f t="shared" si="0"/>
        <v>245711</v>
      </c>
      <c r="U12" s="30">
        <f>S12-T12</f>
        <v>-76083</v>
      </c>
      <c r="V12" s="29">
        <f>U12/T12</f>
        <v>-0.30964425687087677</v>
      </c>
      <c r="W12" s="92"/>
      <c r="X12" s="287">
        <f>F12+G12+H12+I12</f>
        <v>169628</v>
      </c>
      <c r="Y12" s="287">
        <v>245711</v>
      </c>
      <c r="Z12" s="287">
        <v>268590</v>
      </c>
      <c r="AA12" s="380">
        <v>223925</v>
      </c>
      <c r="AB12" s="380">
        <v>178176</v>
      </c>
      <c r="AC12" s="380">
        <v>175983</v>
      </c>
      <c r="AD12" s="233"/>
      <c r="AF12" s="3"/>
      <c r="AI12" s="3"/>
    </row>
    <row r="13" spans="1:35" ht="12.75" customHeight="1">
      <c r="A13" s="7"/>
      <c r="B13" s="313" t="s">
        <v>268</v>
      </c>
      <c r="C13" s="37">
        <f>F13-J13</f>
        <v>-261</v>
      </c>
      <c r="D13" s="29">
        <f>C13/J13</f>
        <v>-0.3359073359073359</v>
      </c>
      <c r="E13" s="40"/>
      <c r="F13" s="575">
        <v>516</v>
      </c>
      <c r="G13" s="529">
        <v>460</v>
      </c>
      <c r="H13" s="529">
        <v>828</v>
      </c>
      <c r="I13" s="302">
        <v>1052</v>
      </c>
      <c r="J13" s="260">
        <v>777</v>
      </c>
      <c r="K13" s="298">
        <v>719</v>
      </c>
      <c r="L13" s="298">
        <v>827</v>
      </c>
      <c r="M13" s="299">
        <v>1093</v>
      </c>
      <c r="N13" s="263">
        <v>1149</v>
      </c>
      <c r="O13" s="253">
        <v>924</v>
      </c>
      <c r="P13" s="253">
        <v>666</v>
      </c>
      <c r="Q13" s="253">
        <v>1290</v>
      </c>
      <c r="R13" s="99"/>
      <c r="S13" s="317">
        <f t="shared" si="0"/>
        <v>2856</v>
      </c>
      <c r="T13" s="400">
        <f t="shared" si="0"/>
        <v>3416</v>
      </c>
      <c r="U13" s="30">
        <f aca="true" t="shared" si="1" ref="U13:U42">S13-T13</f>
        <v>-560</v>
      </c>
      <c r="V13" s="29">
        <f aca="true" t="shared" si="2" ref="V13:V42">U13/T13</f>
        <v>-0.16393442622950818</v>
      </c>
      <c r="W13" s="92"/>
      <c r="X13" s="287">
        <f>F13+G13+H13+I13</f>
        <v>2856</v>
      </c>
      <c r="Y13" s="287">
        <v>3416</v>
      </c>
      <c r="Z13" s="287">
        <v>4029</v>
      </c>
      <c r="AA13" s="380">
        <v>1269</v>
      </c>
      <c r="AB13" s="380">
        <v>0</v>
      </c>
      <c r="AC13" s="380">
        <v>0</v>
      </c>
      <c r="AD13" s="233"/>
      <c r="AF13" s="3"/>
      <c r="AI13" s="3"/>
    </row>
    <row r="14" spans="1:35" ht="12.75" customHeight="1">
      <c r="A14" s="8"/>
      <c r="B14" s="7"/>
      <c r="C14" s="254">
        <f>F14-J14</f>
        <v>-17208</v>
      </c>
      <c r="D14" s="255">
        <f>C14/J14</f>
        <v>-0.315957622606173</v>
      </c>
      <c r="E14" s="40"/>
      <c r="F14" s="586">
        <f>SUM(F12:F13)</f>
        <v>37255</v>
      </c>
      <c r="G14" s="539">
        <v>33532</v>
      </c>
      <c r="H14" s="539">
        <v>43844</v>
      </c>
      <c r="I14" s="307">
        <v>57853</v>
      </c>
      <c r="J14" s="264">
        <v>54463</v>
      </c>
      <c r="K14" s="306">
        <v>61166</v>
      </c>
      <c r="L14" s="306">
        <v>57415</v>
      </c>
      <c r="M14" s="306">
        <v>76083</v>
      </c>
      <c r="N14" s="256">
        <v>75876</v>
      </c>
      <c r="O14" s="307">
        <v>68831</v>
      </c>
      <c r="P14" s="307">
        <v>55626</v>
      </c>
      <c r="Q14" s="307">
        <v>72286</v>
      </c>
      <c r="R14" s="99"/>
      <c r="S14" s="402">
        <f t="shared" si="0"/>
        <v>172484</v>
      </c>
      <c r="T14" s="403">
        <f t="shared" si="0"/>
        <v>249127</v>
      </c>
      <c r="U14" s="413">
        <f t="shared" si="1"/>
        <v>-76643</v>
      </c>
      <c r="V14" s="255">
        <f t="shared" si="2"/>
        <v>-0.3076463008826823</v>
      </c>
      <c r="W14" s="92"/>
      <c r="X14" s="288">
        <f>SUM(X12:X13)</f>
        <v>172484</v>
      </c>
      <c r="Y14" s="288">
        <v>249127</v>
      </c>
      <c r="Z14" s="288">
        <v>272619</v>
      </c>
      <c r="AA14" s="381">
        <v>225194</v>
      </c>
      <c r="AB14" s="381">
        <v>178176</v>
      </c>
      <c r="AC14" s="381">
        <v>175983</v>
      </c>
      <c r="AD14" s="233"/>
      <c r="AF14" s="3"/>
      <c r="AI14" s="3"/>
    </row>
    <row r="15" spans="1:35" ht="12.75" customHeight="1">
      <c r="A15" s="227" t="s">
        <v>5</v>
      </c>
      <c r="B15" s="7"/>
      <c r="C15" s="37"/>
      <c r="D15" s="29"/>
      <c r="E15" s="40"/>
      <c r="F15" s="575"/>
      <c r="G15" s="529"/>
      <c r="H15" s="529"/>
      <c r="I15" s="302"/>
      <c r="J15" s="260"/>
      <c r="K15" s="298"/>
      <c r="L15" s="298"/>
      <c r="M15" s="298"/>
      <c r="N15" s="246"/>
      <c r="O15" s="302"/>
      <c r="P15" s="302"/>
      <c r="Q15" s="302"/>
      <c r="R15" s="99"/>
      <c r="S15" s="317"/>
      <c r="T15" s="400"/>
      <c r="U15" s="30"/>
      <c r="V15" s="29"/>
      <c r="W15" s="92"/>
      <c r="X15" s="289"/>
      <c r="Y15" s="287"/>
      <c r="Z15" s="287"/>
      <c r="AA15" s="380"/>
      <c r="AB15" s="380"/>
      <c r="AC15" s="380"/>
      <c r="AD15" s="233"/>
      <c r="AF15" s="3"/>
      <c r="AI15" s="3"/>
    </row>
    <row r="16" spans="1:35" ht="12.75" customHeight="1">
      <c r="A16" s="8"/>
      <c r="B16" s="313" t="s">
        <v>180</v>
      </c>
      <c r="C16" s="37">
        <f aca="true" t="shared" si="3" ref="C16:C28">F16-J16</f>
        <v>-11044</v>
      </c>
      <c r="D16" s="29">
        <f aca="true" t="shared" si="4" ref="D16:D28">C16/J16</f>
        <v>-0.45700571050235866</v>
      </c>
      <c r="E16" s="40"/>
      <c r="F16" s="575">
        <v>13122</v>
      </c>
      <c r="G16" s="529">
        <v>14195</v>
      </c>
      <c r="H16" s="529">
        <v>20116</v>
      </c>
      <c r="I16" s="302">
        <v>26950</v>
      </c>
      <c r="J16" s="260">
        <v>24166</v>
      </c>
      <c r="K16" s="298">
        <v>28443</v>
      </c>
      <c r="L16" s="298">
        <v>25351</v>
      </c>
      <c r="M16" s="298">
        <v>37680</v>
      </c>
      <c r="N16" s="246">
        <v>36567</v>
      </c>
      <c r="O16" s="302">
        <v>31848</v>
      </c>
      <c r="P16" s="302">
        <v>24885</v>
      </c>
      <c r="Q16" s="302">
        <v>33368</v>
      </c>
      <c r="R16" s="99"/>
      <c r="S16" s="317">
        <f aca="true" t="shared" si="5" ref="S16:S28">X16</f>
        <v>74383</v>
      </c>
      <c r="T16" s="400">
        <f aca="true" t="shared" si="6" ref="T16:T28">Y16</f>
        <v>115640</v>
      </c>
      <c r="U16" s="30">
        <f t="shared" si="1"/>
        <v>-41257</v>
      </c>
      <c r="V16" s="29">
        <f t="shared" si="2"/>
        <v>-0.35677101349014184</v>
      </c>
      <c r="W16" s="92"/>
      <c r="X16" s="287">
        <f aca="true" t="shared" si="7" ref="X16:X25">F16+G16+H16+I16</f>
        <v>74383</v>
      </c>
      <c r="Y16" s="287">
        <v>115640</v>
      </c>
      <c r="Z16" s="287">
        <v>126668</v>
      </c>
      <c r="AA16" s="380">
        <v>105283</v>
      </c>
      <c r="AB16" s="380">
        <v>84396</v>
      </c>
      <c r="AC16" s="380">
        <v>82758</v>
      </c>
      <c r="AD16" s="233"/>
      <c r="AF16" s="3"/>
      <c r="AI16" s="3"/>
    </row>
    <row r="17" spans="1:35" ht="12.75" customHeight="1">
      <c r="A17" s="8"/>
      <c r="B17" s="313" t="s">
        <v>142</v>
      </c>
      <c r="C17" s="37">
        <f t="shared" si="3"/>
        <v>-178</v>
      </c>
      <c r="D17" s="29">
        <f t="shared" si="4"/>
        <v>-0.03800982276318599</v>
      </c>
      <c r="E17" s="40"/>
      <c r="F17" s="575">
        <v>4505</v>
      </c>
      <c r="G17" s="529">
        <v>3057</v>
      </c>
      <c r="H17" s="529">
        <v>3477</v>
      </c>
      <c r="I17" s="302">
        <v>3781</v>
      </c>
      <c r="J17" s="260">
        <v>4683</v>
      </c>
      <c r="K17" s="298">
        <v>3272</v>
      </c>
      <c r="L17" s="298">
        <v>3510</v>
      </c>
      <c r="M17" s="298">
        <v>4049</v>
      </c>
      <c r="N17" s="246">
        <v>4303</v>
      </c>
      <c r="O17" s="302">
        <v>3039</v>
      </c>
      <c r="P17" s="302">
        <v>2854</v>
      </c>
      <c r="Q17" s="302">
        <v>3430</v>
      </c>
      <c r="R17" s="99"/>
      <c r="S17" s="317">
        <f t="shared" si="5"/>
        <v>14820</v>
      </c>
      <c r="T17" s="400">
        <f t="shared" si="6"/>
        <v>15514</v>
      </c>
      <c r="U17" s="30">
        <f t="shared" si="1"/>
        <v>-694</v>
      </c>
      <c r="V17" s="29">
        <f t="shared" si="2"/>
        <v>-0.044733788835890166</v>
      </c>
      <c r="W17" s="92"/>
      <c r="X17" s="287">
        <f t="shared" si="7"/>
        <v>14820</v>
      </c>
      <c r="Y17" s="287">
        <v>15514</v>
      </c>
      <c r="Z17" s="287">
        <v>13626</v>
      </c>
      <c r="AA17" s="380">
        <v>13053</v>
      </c>
      <c r="AB17" s="380">
        <v>11158</v>
      </c>
      <c r="AC17" s="380">
        <v>10157</v>
      </c>
      <c r="AD17" s="233"/>
      <c r="AF17" s="3"/>
      <c r="AI17" s="3"/>
    </row>
    <row r="18" spans="1:35" ht="12.75" customHeight="1">
      <c r="A18" s="8"/>
      <c r="B18" s="313" t="s">
        <v>143</v>
      </c>
      <c r="C18" s="37">
        <f t="shared" si="3"/>
        <v>3</v>
      </c>
      <c r="D18" s="29">
        <f t="shared" si="4"/>
        <v>0.0017709563164108619</v>
      </c>
      <c r="E18" s="40"/>
      <c r="F18" s="575">
        <v>1697</v>
      </c>
      <c r="G18" s="529">
        <v>1856</v>
      </c>
      <c r="H18" s="529">
        <v>1606</v>
      </c>
      <c r="I18" s="302">
        <v>1849</v>
      </c>
      <c r="J18" s="260">
        <v>1694</v>
      </c>
      <c r="K18" s="298">
        <v>2331</v>
      </c>
      <c r="L18" s="298">
        <v>2158</v>
      </c>
      <c r="M18" s="298">
        <v>2399</v>
      </c>
      <c r="N18" s="246">
        <v>2477</v>
      </c>
      <c r="O18" s="302">
        <v>2338</v>
      </c>
      <c r="P18" s="302">
        <v>2276</v>
      </c>
      <c r="Q18" s="302">
        <v>3066</v>
      </c>
      <c r="R18" s="99"/>
      <c r="S18" s="317">
        <f t="shared" si="5"/>
        <v>7008</v>
      </c>
      <c r="T18" s="400">
        <f t="shared" si="6"/>
        <v>8582</v>
      </c>
      <c r="U18" s="30">
        <f t="shared" si="1"/>
        <v>-1574</v>
      </c>
      <c r="V18" s="29">
        <f t="shared" si="2"/>
        <v>-0.18340713120484736</v>
      </c>
      <c r="W18" s="92"/>
      <c r="X18" s="287">
        <f t="shared" si="7"/>
        <v>7008</v>
      </c>
      <c r="Y18" s="287">
        <v>8582</v>
      </c>
      <c r="Z18" s="287">
        <v>10157</v>
      </c>
      <c r="AA18" s="380">
        <v>9013</v>
      </c>
      <c r="AB18" s="380">
        <v>8802</v>
      </c>
      <c r="AC18" s="380">
        <v>1308</v>
      </c>
      <c r="AD18" s="233"/>
      <c r="AF18" s="3"/>
      <c r="AI18" s="3"/>
    </row>
    <row r="19" spans="1:35" ht="12.75" customHeight="1">
      <c r="A19" s="8"/>
      <c r="B19" s="313" t="s">
        <v>144</v>
      </c>
      <c r="C19" s="37">
        <f t="shared" si="3"/>
        <v>192</v>
      </c>
      <c r="D19" s="29">
        <f t="shared" si="4"/>
        <v>0.11779141104294479</v>
      </c>
      <c r="E19" s="40"/>
      <c r="F19" s="575">
        <v>1822</v>
      </c>
      <c r="G19" s="529">
        <v>1632</v>
      </c>
      <c r="H19" s="529">
        <v>1702</v>
      </c>
      <c r="I19" s="302">
        <v>1632</v>
      </c>
      <c r="J19" s="260">
        <v>1630</v>
      </c>
      <c r="K19" s="298">
        <v>1605</v>
      </c>
      <c r="L19" s="298">
        <v>1605</v>
      </c>
      <c r="M19" s="298">
        <v>1535</v>
      </c>
      <c r="N19" s="246">
        <v>1555</v>
      </c>
      <c r="O19" s="302">
        <v>1528</v>
      </c>
      <c r="P19" s="302">
        <v>1534</v>
      </c>
      <c r="Q19" s="302">
        <v>1536</v>
      </c>
      <c r="R19" s="99"/>
      <c r="S19" s="317">
        <f t="shared" si="5"/>
        <v>6788</v>
      </c>
      <c r="T19" s="400">
        <f t="shared" si="6"/>
        <v>6375</v>
      </c>
      <c r="U19" s="30">
        <f t="shared" si="1"/>
        <v>413</v>
      </c>
      <c r="V19" s="29">
        <f t="shared" si="2"/>
        <v>0.06478431372549019</v>
      </c>
      <c r="W19" s="92"/>
      <c r="X19" s="287">
        <f t="shared" si="7"/>
        <v>6788</v>
      </c>
      <c r="Y19" s="287">
        <v>6375</v>
      </c>
      <c r="Z19" s="287">
        <v>6153</v>
      </c>
      <c r="AA19" s="380">
        <v>5464</v>
      </c>
      <c r="AB19" s="380">
        <v>4653</v>
      </c>
      <c r="AC19" s="380">
        <v>4742</v>
      </c>
      <c r="AD19" s="233"/>
      <c r="AF19" s="3"/>
      <c r="AI19" s="3"/>
    </row>
    <row r="20" spans="1:35" ht="12.75" customHeight="1">
      <c r="A20" s="8"/>
      <c r="B20" s="313" t="s">
        <v>145</v>
      </c>
      <c r="C20" s="37">
        <f t="shared" si="3"/>
        <v>34</v>
      </c>
      <c r="D20" s="29">
        <f t="shared" si="4"/>
        <v>0.021303258145363407</v>
      </c>
      <c r="E20" s="40"/>
      <c r="F20" s="575">
        <v>1630</v>
      </c>
      <c r="G20" s="529">
        <v>1590</v>
      </c>
      <c r="H20" s="529">
        <v>1556</v>
      </c>
      <c r="I20" s="302">
        <v>1639</v>
      </c>
      <c r="J20" s="260">
        <v>1596</v>
      </c>
      <c r="K20" s="298">
        <v>1544</v>
      </c>
      <c r="L20" s="298">
        <v>1573</v>
      </c>
      <c r="M20" s="298">
        <v>1670</v>
      </c>
      <c r="N20" s="246">
        <v>1639</v>
      </c>
      <c r="O20" s="302">
        <v>1526</v>
      </c>
      <c r="P20" s="302">
        <v>1571</v>
      </c>
      <c r="Q20" s="302">
        <v>1602</v>
      </c>
      <c r="R20" s="99"/>
      <c r="S20" s="317">
        <f t="shared" si="5"/>
        <v>6415</v>
      </c>
      <c r="T20" s="400">
        <f t="shared" si="6"/>
        <v>6383</v>
      </c>
      <c r="U20" s="30">
        <f t="shared" si="1"/>
        <v>32</v>
      </c>
      <c r="V20" s="29">
        <f t="shared" si="2"/>
        <v>0.005013316622277926</v>
      </c>
      <c r="W20" s="92"/>
      <c r="X20" s="287">
        <f t="shared" si="7"/>
        <v>6415</v>
      </c>
      <c r="Y20" s="287">
        <v>6383</v>
      </c>
      <c r="Z20" s="287">
        <v>6338</v>
      </c>
      <c r="AA20" s="380">
        <v>6066</v>
      </c>
      <c r="AB20" s="380">
        <v>5819</v>
      </c>
      <c r="AC20" s="380">
        <v>5491</v>
      </c>
      <c r="AD20" s="233"/>
      <c r="AF20" s="3"/>
      <c r="AI20" s="3"/>
    </row>
    <row r="21" spans="1:35" ht="12.75" customHeight="1">
      <c r="A21" s="8"/>
      <c r="B21" s="313" t="s">
        <v>140</v>
      </c>
      <c r="C21" s="37">
        <f t="shared" si="3"/>
        <v>-3453</v>
      </c>
      <c r="D21" s="29">
        <f t="shared" si="4"/>
        <v>-0.8372938894277401</v>
      </c>
      <c r="E21" s="40"/>
      <c r="F21" s="575">
        <v>671</v>
      </c>
      <c r="G21" s="529">
        <v>1758</v>
      </c>
      <c r="H21" s="529">
        <v>2459</v>
      </c>
      <c r="I21" s="302">
        <v>2915</v>
      </c>
      <c r="J21" s="260">
        <v>4124</v>
      </c>
      <c r="K21" s="298">
        <v>5305</v>
      </c>
      <c r="L21" s="298">
        <v>5435</v>
      </c>
      <c r="M21" s="298">
        <v>5060</v>
      </c>
      <c r="N21" s="246">
        <v>4659</v>
      </c>
      <c r="O21" s="302">
        <v>4412</v>
      </c>
      <c r="P21" s="302">
        <v>4434</v>
      </c>
      <c r="Q21" s="302">
        <v>4246</v>
      </c>
      <c r="R21" s="99"/>
      <c r="S21" s="317">
        <f t="shared" si="5"/>
        <v>7803</v>
      </c>
      <c r="T21" s="400">
        <f t="shared" si="6"/>
        <v>19924</v>
      </c>
      <c r="U21" s="30">
        <f t="shared" si="1"/>
        <v>-12121</v>
      </c>
      <c r="V21" s="29">
        <f t="shared" si="2"/>
        <v>-0.6083617747440273</v>
      </c>
      <c r="W21" s="92"/>
      <c r="X21" s="287">
        <f t="shared" si="7"/>
        <v>7803</v>
      </c>
      <c r="Y21" s="287">
        <v>19924</v>
      </c>
      <c r="Z21" s="287">
        <v>17751</v>
      </c>
      <c r="AA21" s="380">
        <v>7194</v>
      </c>
      <c r="AB21" s="380">
        <v>3711</v>
      </c>
      <c r="AC21" s="380">
        <v>0</v>
      </c>
      <c r="AD21" s="233"/>
      <c r="AF21" s="3"/>
      <c r="AI21" s="3"/>
    </row>
    <row r="22" spans="1:35" ht="12.75" customHeight="1">
      <c r="A22" s="8"/>
      <c r="B22" s="313" t="s">
        <v>181</v>
      </c>
      <c r="C22" s="37">
        <f t="shared" si="3"/>
        <v>-1209</v>
      </c>
      <c r="D22" s="29">
        <f t="shared" si="4"/>
        <v>-0.34771354616048317</v>
      </c>
      <c r="E22" s="40"/>
      <c r="F22" s="575">
        <v>2268</v>
      </c>
      <c r="G22" s="529">
        <v>7826</v>
      </c>
      <c r="H22" s="529">
        <v>3206</v>
      </c>
      <c r="I22" s="302">
        <v>3942</v>
      </c>
      <c r="J22" s="260">
        <v>3477</v>
      </c>
      <c r="K22" s="298">
        <v>3587</v>
      </c>
      <c r="L22" s="298">
        <v>2594</v>
      </c>
      <c r="M22" s="298">
        <v>2953</v>
      </c>
      <c r="N22" s="246">
        <v>2341</v>
      </c>
      <c r="O22" s="302">
        <v>3444</v>
      </c>
      <c r="P22" s="302">
        <v>1855</v>
      </c>
      <c r="Q22" s="302">
        <v>6038</v>
      </c>
      <c r="R22" s="99"/>
      <c r="S22" s="317">
        <f t="shared" si="5"/>
        <v>17242</v>
      </c>
      <c r="T22" s="400">
        <f t="shared" si="6"/>
        <v>12611</v>
      </c>
      <c r="U22" s="30">
        <f t="shared" si="1"/>
        <v>4631</v>
      </c>
      <c r="V22" s="29">
        <f t="shared" si="2"/>
        <v>0.3672190944413607</v>
      </c>
      <c r="W22" s="92"/>
      <c r="X22" s="287">
        <f t="shared" si="7"/>
        <v>17242</v>
      </c>
      <c r="Y22" s="287">
        <v>12611</v>
      </c>
      <c r="Z22" s="287">
        <v>13678</v>
      </c>
      <c r="AA22" s="380">
        <v>12162</v>
      </c>
      <c r="AB22" s="380">
        <v>5080</v>
      </c>
      <c r="AC22" s="380">
        <v>9626</v>
      </c>
      <c r="AD22" s="233"/>
      <c r="AF22" s="3"/>
      <c r="AI22" s="3"/>
    </row>
    <row r="23" spans="1:35" ht="12.75" customHeight="1">
      <c r="A23" s="8"/>
      <c r="B23" s="313" t="s">
        <v>147</v>
      </c>
      <c r="C23" s="37">
        <f t="shared" si="3"/>
        <v>219</v>
      </c>
      <c r="D23" s="29">
        <f t="shared" si="4"/>
        <v>0.5022935779816514</v>
      </c>
      <c r="E23" s="40"/>
      <c r="F23" s="575">
        <v>655</v>
      </c>
      <c r="G23" s="529">
        <v>463</v>
      </c>
      <c r="H23" s="529">
        <v>411</v>
      </c>
      <c r="I23" s="302">
        <v>409</v>
      </c>
      <c r="J23" s="260">
        <v>436</v>
      </c>
      <c r="K23" s="298">
        <v>495</v>
      </c>
      <c r="L23" s="298">
        <v>472</v>
      </c>
      <c r="M23" s="298">
        <v>430</v>
      </c>
      <c r="N23" s="246">
        <v>438</v>
      </c>
      <c r="O23" s="302">
        <v>380</v>
      </c>
      <c r="P23" s="302">
        <v>420</v>
      </c>
      <c r="Q23" s="302">
        <v>410</v>
      </c>
      <c r="R23" s="99"/>
      <c r="S23" s="317">
        <f t="shared" si="5"/>
        <v>1938</v>
      </c>
      <c r="T23" s="400">
        <f t="shared" si="6"/>
        <v>1833</v>
      </c>
      <c r="U23" s="30">
        <f t="shared" si="1"/>
        <v>105</v>
      </c>
      <c r="V23" s="29">
        <f t="shared" si="2"/>
        <v>0.057283142389525366</v>
      </c>
      <c r="W23" s="92"/>
      <c r="X23" s="287">
        <f t="shared" si="7"/>
        <v>1938</v>
      </c>
      <c r="Y23" s="287">
        <v>1833</v>
      </c>
      <c r="Z23" s="287">
        <v>1648</v>
      </c>
      <c r="AA23" s="380">
        <v>1439</v>
      </c>
      <c r="AB23" s="380">
        <v>1087</v>
      </c>
      <c r="AC23" s="380">
        <v>1295</v>
      </c>
      <c r="AD23" s="233"/>
      <c r="AF23" s="3"/>
      <c r="AI23" s="3"/>
    </row>
    <row r="24" spans="1:35" ht="12.75" customHeight="1">
      <c r="A24" s="7"/>
      <c r="B24" s="313" t="s">
        <v>148</v>
      </c>
      <c r="C24" s="37">
        <f t="shared" si="3"/>
        <v>700</v>
      </c>
      <c r="D24" s="29">
        <f t="shared" si="4"/>
        <v>0.36900369003690037</v>
      </c>
      <c r="E24" s="40"/>
      <c r="F24" s="575">
        <v>2597</v>
      </c>
      <c r="G24" s="529">
        <v>2312</v>
      </c>
      <c r="H24" s="529">
        <v>1378</v>
      </c>
      <c r="I24" s="302">
        <v>1566</v>
      </c>
      <c r="J24" s="260">
        <v>1897</v>
      </c>
      <c r="K24" s="298">
        <v>1550</v>
      </c>
      <c r="L24" s="298">
        <v>1341</v>
      </c>
      <c r="M24" s="298">
        <v>1372</v>
      </c>
      <c r="N24" s="246">
        <v>1370</v>
      </c>
      <c r="O24" s="302">
        <v>1663</v>
      </c>
      <c r="P24" s="302">
        <v>1517</v>
      </c>
      <c r="Q24" s="302">
        <v>1521</v>
      </c>
      <c r="R24" s="99"/>
      <c r="S24" s="317">
        <f t="shared" si="5"/>
        <v>7853</v>
      </c>
      <c r="T24" s="400">
        <f t="shared" si="6"/>
        <v>6160</v>
      </c>
      <c r="U24" s="30">
        <f t="shared" si="1"/>
        <v>1693</v>
      </c>
      <c r="V24" s="29">
        <f t="shared" si="2"/>
        <v>0.2748376623376623</v>
      </c>
      <c r="W24" s="92"/>
      <c r="X24" s="287">
        <f t="shared" si="7"/>
        <v>7853</v>
      </c>
      <c r="Y24" s="287">
        <v>6160</v>
      </c>
      <c r="Z24" s="287">
        <v>6071</v>
      </c>
      <c r="AA24" s="380">
        <v>4302</v>
      </c>
      <c r="AB24" s="380">
        <v>2798</v>
      </c>
      <c r="AC24" s="380">
        <v>3261</v>
      </c>
      <c r="AD24" s="233"/>
      <c r="AF24" s="3"/>
      <c r="AI24" s="3"/>
    </row>
    <row r="25" spans="1:35" ht="12.75" customHeight="1">
      <c r="A25" s="7"/>
      <c r="B25" s="229" t="s">
        <v>281</v>
      </c>
      <c r="C25" s="37">
        <f t="shared" si="3"/>
        <v>-54200</v>
      </c>
      <c r="D25" s="29" t="s">
        <v>54</v>
      </c>
      <c r="E25" s="40"/>
      <c r="F25" s="261">
        <v>0</v>
      </c>
      <c r="G25" s="299">
        <v>5347</v>
      </c>
      <c r="H25" s="299">
        <v>0</v>
      </c>
      <c r="I25" s="29">
        <v>0</v>
      </c>
      <c r="J25" s="261">
        <v>54200</v>
      </c>
      <c r="K25" s="299">
        <v>0</v>
      </c>
      <c r="L25" s="299">
        <v>0</v>
      </c>
      <c r="M25" s="253">
        <v>0</v>
      </c>
      <c r="N25" s="263">
        <v>0</v>
      </c>
      <c r="O25" s="253">
        <v>0</v>
      </c>
      <c r="P25" s="253">
        <v>0</v>
      </c>
      <c r="Q25" s="253">
        <v>0</v>
      </c>
      <c r="R25" s="99"/>
      <c r="S25" s="317">
        <f t="shared" si="5"/>
        <v>5347</v>
      </c>
      <c r="T25" s="299">
        <f t="shared" si="6"/>
        <v>54200</v>
      </c>
      <c r="U25" s="30">
        <f t="shared" si="1"/>
        <v>-48853</v>
      </c>
      <c r="V25" s="29" t="s">
        <v>54</v>
      </c>
      <c r="W25" s="92"/>
      <c r="X25" s="290">
        <f t="shared" si="7"/>
        <v>5347</v>
      </c>
      <c r="Y25" s="290">
        <v>54200</v>
      </c>
      <c r="Z25" s="290">
        <v>0</v>
      </c>
      <c r="AA25" s="380">
        <v>0</v>
      </c>
      <c r="AB25" s="380">
        <v>0</v>
      </c>
      <c r="AC25" s="380">
        <v>0</v>
      </c>
      <c r="AD25" s="233"/>
      <c r="AF25" s="3"/>
      <c r="AI25" s="3"/>
    </row>
    <row r="26" spans="1:35" ht="12.75" customHeight="1">
      <c r="A26" s="8"/>
      <c r="B26" s="7" t="s">
        <v>290</v>
      </c>
      <c r="C26" s="37">
        <f t="shared" si="3"/>
        <v>-700</v>
      </c>
      <c r="D26" s="29" t="s">
        <v>54</v>
      </c>
      <c r="E26" s="40"/>
      <c r="F26" s="261">
        <v>0</v>
      </c>
      <c r="G26" s="529">
        <v>180</v>
      </c>
      <c r="H26" s="299">
        <v>0</v>
      </c>
      <c r="I26" s="29">
        <v>0</v>
      </c>
      <c r="J26" s="299">
        <v>700</v>
      </c>
      <c r="K26" s="299">
        <v>0</v>
      </c>
      <c r="L26" s="299">
        <v>0</v>
      </c>
      <c r="M26" s="299">
        <v>0</v>
      </c>
      <c r="N26" s="263">
        <v>0</v>
      </c>
      <c r="O26" s="253">
        <v>0</v>
      </c>
      <c r="P26" s="253">
        <v>0</v>
      </c>
      <c r="Q26" s="253">
        <v>0</v>
      </c>
      <c r="R26" s="99"/>
      <c r="S26" s="317">
        <f t="shared" si="5"/>
        <v>180</v>
      </c>
      <c r="T26" s="422">
        <f t="shared" si="6"/>
        <v>700</v>
      </c>
      <c r="U26" s="30">
        <f t="shared" si="1"/>
        <v>-520</v>
      </c>
      <c r="V26" s="29">
        <f>U26/T26</f>
        <v>-0.7428571428571429</v>
      </c>
      <c r="W26" s="92"/>
      <c r="X26" s="287">
        <f>I26+H26+G26+F26</f>
        <v>180</v>
      </c>
      <c r="Y26" s="290">
        <v>700</v>
      </c>
      <c r="Z26" s="290">
        <v>0</v>
      </c>
      <c r="AA26" s="380">
        <v>0</v>
      </c>
      <c r="AB26" s="380">
        <v>0</v>
      </c>
      <c r="AC26" s="380">
        <v>0</v>
      </c>
      <c r="AD26" s="233"/>
      <c r="AF26" s="3"/>
      <c r="AI26" s="3"/>
    </row>
    <row r="27" spans="1:35" ht="12.75" customHeight="1">
      <c r="A27" s="8"/>
      <c r="B27" s="7"/>
      <c r="C27" s="254">
        <f t="shared" si="3"/>
        <v>-69636</v>
      </c>
      <c r="D27" s="255">
        <f t="shared" si="4"/>
        <v>-0.7062259768972546</v>
      </c>
      <c r="E27" s="40"/>
      <c r="F27" s="586">
        <f>SUM(F16:F26)</f>
        <v>28967</v>
      </c>
      <c r="G27" s="539">
        <v>40216</v>
      </c>
      <c r="H27" s="539">
        <v>35911</v>
      </c>
      <c r="I27" s="307">
        <v>44683</v>
      </c>
      <c r="J27" s="264">
        <v>98603</v>
      </c>
      <c r="K27" s="306">
        <v>48132</v>
      </c>
      <c r="L27" s="306">
        <v>44039</v>
      </c>
      <c r="M27" s="306">
        <v>57148</v>
      </c>
      <c r="N27" s="256">
        <v>55349</v>
      </c>
      <c r="O27" s="307">
        <v>50178</v>
      </c>
      <c r="P27" s="307">
        <v>41346</v>
      </c>
      <c r="Q27" s="307">
        <v>55217</v>
      </c>
      <c r="R27" s="99"/>
      <c r="S27" s="402">
        <f t="shared" si="5"/>
        <v>149777</v>
      </c>
      <c r="T27" s="412">
        <f t="shared" si="6"/>
        <v>247922</v>
      </c>
      <c r="U27" s="413">
        <f t="shared" si="1"/>
        <v>-98145</v>
      </c>
      <c r="V27" s="255">
        <f t="shared" si="2"/>
        <v>-0.39587047539145376</v>
      </c>
      <c r="W27" s="92"/>
      <c r="X27" s="288">
        <f>SUM(X16:X26)</f>
        <v>149777</v>
      </c>
      <c r="Y27" s="288">
        <v>247922</v>
      </c>
      <c r="Z27" s="288">
        <v>202090</v>
      </c>
      <c r="AA27" s="381">
        <v>163976</v>
      </c>
      <c r="AB27" s="381">
        <v>127504</v>
      </c>
      <c r="AC27" s="381">
        <v>118638</v>
      </c>
      <c r="AD27" s="233"/>
      <c r="AF27" s="3"/>
      <c r="AI27" s="3"/>
    </row>
    <row r="28" spans="1:35" s="106" customFormat="1" ht="15" customHeight="1" thickBot="1">
      <c r="A28" s="364" t="s">
        <v>253</v>
      </c>
      <c r="B28" s="227"/>
      <c r="C28" s="538">
        <f t="shared" si="3"/>
        <v>52428</v>
      </c>
      <c r="D28" s="268">
        <f t="shared" si="4"/>
        <v>-1.1877661984594472</v>
      </c>
      <c r="E28" s="40"/>
      <c r="F28" s="591">
        <f>F14-F27</f>
        <v>8288</v>
      </c>
      <c r="G28" s="540">
        <v>-6684</v>
      </c>
      <c r="H28" s="540">
        <v>7933</v>
      </c>
      <c r="I28" s="309">
        <v>13170</v>
      </c>
      <c r="J28" s="267">
        <v>-44140</v>
      </c>
      <c r="K28" s="308">
        <v>13034</v>
      </c>
      <c r="L28" s="308">
        <v>13376</v>
      </c>
      <c r="M28" s="308">
        <v>18935</v>
      </c>
      <c r="N28" s="269">
        <v>20527</v>
      </c>
      <c r="O28" s="309">
        <v>18653</v>
      </c>
      <c r="P28" s="309">
        <v>14280</v>
      </c>
      <c r="Q28" s="309">
        <v>17069</v>
      </c>
      <c r="R28" s="99"/>
      <c r="S28" s="524">
        <f t="shared" si="5"/>
        <v>22707</v>
      </c>
      <c r="T28" s="525">
        <f t="shared" si="6"/>
        <v>1205</v>
      </c>
      <c r="U28" s="526">
        <f t="shared" si="1"/>
        <v>21502</v>
      </c>
      <c r="V28" s="523">
        <f t="shared" si="2"/>
        <v>17.843983402489627</v>
      </c>
      <c r="W28" s="92"/>
      <c r="X28" s="295">
        <f>X14-X27</f>
        <v>22707</v>
      </c>
      <c r="Y28" s="295">
        <v>1205</v>
      </c>
      <c r="Z28" s="295">
        <v>70529</v>
      </c>
      <c r="AA28" s="382">
        <v>61218</v>
      </c>
      <c r="AB28" s="382">
        <v>50672</v>
      </c>
      <c r="AC28" s="382">
        <v>57345</v>
      </c>
      <c r="AD28" s="233"/>
      <c r="AF28" s="296"/>
      <c r="AI28" s="296"/>
    </row>
    <row r="29" spans="1:35" ht="12.75" customHeight="1" thickTop="1">
      <c r="A29" s="229"/>
      <c r="B29" s="229"/>
      <c r="C29" s="30"/>
      <c r="D29" s="40"/>
      <c r="E29" s="40"/>
      <c r="F29" s="40"/>
      <c r="G29" s="40"/>
      <c r="H29" s="40"/>
      <c r="I29" s="233"/>
      <c r="J29" s="92"/>
      <c r="K29" s="92"/>
      <c r="L29" s="92"/>
      <c r="M29" s="298"/>
      <c r="N29" s="298"/>
      <c r="O29" s="298"/>
      <c r="P29" s="298"/>
      <c r="Q29" s="298"/>
      <c r="R29" s="233"/>
      <c r="S29" s="400"/>
      <c r="T29" s="400"/>
      <c r="U29" s="30"/>
      <c r="V29" s="40"/>
      <c r="W29" s="233"/>
      <c r="X29" s="233"/>
      <c r="Y29" s="30"/>
      <c r="Z29" s="30"/>
      <c r="AA29" s="9"/>
      <c r="AB29" s="9"/>
      <c r="AC29" s="9"/>
      <c r="AD29" s="233"/>
      <c r="AF29" s="3"/>
      <c r="AI29" s="3"/>
    </row>
    <row r="30" spans="1:35" ht="12.75" customHeight="1">
      <c r="A30" s="231" t="s">
        <v>263</v>
      </c>
      <c r="B30" s="229"/>
      <c r="C30" s="314" t="e">
        <f aca="true" t="shared" si="8" ref="C30:C35">(F30-J30)*100</f>
        <v>#REF!</v>
      </c>
      <c r="D30" s="40"/>
      <c r="E30" s="40"/>
      <c r="F30" s="34" t="e">
        <f>#REF!</f>
        <v>#REF!</v>
      </c>
      <c r="G30" s="34">
        <v>0.18445067398306095</v>
      </c>
      <c r="H30" s="34">
        <v>0.1928428063132926</v>
      </c>
      <c r="I30" s="34">
        <v>0.157</v>
      </c>
      <c r="J30" s="34">
        <v>0.163</v>
      </c>
      <c r="K30" s="34">
        <v>0.153</v>
      </c>
      <c r="L30" s="34">
        <v>0.16</v>
      </c>
      <c r="M30" s="34">
        <v>0.12</v>
      </c>
      <c r="N30" s="34">
        <v>0.116</v>
      </c>
      <c r="O30" s="34">
        <v>0.121</v>
      </c>
      <c r="P30" s="34">
        <v>0.143</v>
      </c>
      <c r="Q30" s="34">
        <v>0.104</v>
      </c>
      <c r="R30" s="233"/>
      <c r="S30" s="34">
        <f aca="true" t="shared" si="9" ref="S30:S35">X30</f>
        <v>0.169</v>
      </c>
      <c r="T30" s="34">
        <f aca="true" t="shared" si="10" ref="T30:T35">Y30</f>
        <v>0.147</v>
      </c>
      <c r="U30" s="314">
        <f aca="true" t="shared" si="11" ref="U30:U35">(S30-T30)*100</f>
        <v>2.200000000000002</v>
      </c>
      <c r="V30" s="40"/>
      <c r="W30" s="233"/>
      <c r="X30" s="34">
        <v>0.169</v>
      </c>
      <c r="Y30" s="34">
        <v>0.147</v>
      </c>
      <c r="Z30" s="34">
        <v>0.119</v>
      </c>
      <c r="AA30" s="383">
        <v>0.099</v>
      </c>
      <c r="AB30" s="383">
        <v>0.077</v>
      </c>
      <c r="AC30" s="383">
        <v>0.079</v>
      </c>
      <c r="AD30" s="233"/>
      <c r="AF30" s="3"/>
      <c r="AI30" s="3"/>
    </row>
    <row r="31" spans="1:35" ht="12.75" customHeight="1">
      <c r="A31" s="230" t="s">
        <v>153</v>
      </c>
      <c r="B31" s="229"/>
      <c r="C31" s="314">
        <f t="shared" si="8"/>
        <v>-9.177882163467993</v>
      </c>
      <c r="D31" s="40"/>
      <c r="E31" s="40"/>
      <c r="F31" s="34">
        <f>F16/F14</f>
        <v>0.3522211783653201</v>
      </c>
      <c r="G31" s="34">
        <v>0.423326971251342</v>
      </c>
      <c r="H31" s="34">
        <v>0.4588085028738254</v>
      </c>
      <c r="I31" s="34">
        <v>0.46583582528131645</v>
      </c>
      <c r="J31" s="34">
        <v>0.444</v>
      </c>
      <c r="K31" s="34">
        <v>0.465</v>
      </c>
      <c r="L31" s="34">
        <v>0.442</v>
      </c>
      <c r="M31" s="34">
        <v>0.495</v>
      </c>
      <c r="N31" s="34">
        <v>0.482</v>
      </c>
      <c r="O31" s="34">
        <v>0.463</v>
      </c>
      <c r="P31" s="34">
        <v>0.447</v>
      </c>
      <c r="Q31" s="34">
        <v>0.462</v>
      </c>
      <c r="R31" s="233"/>
      <c r="S31" s="34">
        <f t="shared" si="9"/>
        <v>0.43124579671157903</v>
      </c>
      <c r="T31" s="34">
        <f t="shared" si="10"/>
        <v>0.4641809197718433</v>
      </c>
      <c r="U31" s="314">
        <f t="shared" si="11"/>
        <v>-3.293512306026425</v>
      </c>
      <c r="V31" s="40"/>
      <c r="W31" s="233"/>
      <c r="X31" s="34">
        <f>X16/X14</f>
        <v>0.43124579671157903</v>
      </c>
      <c r="Y31" s="34">
        <v>0.4641809197718433</v>
      </c>
      <c r="Z31" s="34">
        <v>0.465</v>
      </c>
      <c r="AA31" s="372">
        <v>0.468</v>
      </c>
      <c r="AB31" s="372">
        <v>0.474</v>
      </c>
      <c r="AC31" s="372">
        <v>0.47</v>
      </c>
      <c r="AD31" s="233"/>
      <c r="AF31" s="3"/>
      <c r="AI31" s="3"/>
    </row>
    <row r="32" spans="1:35" ht="12.75" customHeight="1">
      <c r="A32" s="230" t="s">
        <v>154</v>
      </c>
      <c r="B32" s="229"/>
      <c r="C32" s="314">
        <f t="shared" si="8"/>
        <v>-5.6855455643537836</v>
      </c>
      <c r="D32" s="40"/>
      <c r="E32" s="40"/>
      <c r="F32" s="34">
        <f>(F16+F17)/F14</f>
        <v>0.4731445443564622</v>
      </c>
      <c r="G32" s="34">
        <v>0.5144936180365024</v>
      </c>
      <c r="H32" s="34">
        <v>0.5381123985037861</v>
      </c>
      <c r="I32" s="34">
        <v>0.5311911223272777</v>
      </c>
      <c r="J32" s="34">
        <v>0.53</v>
      </c>
      <c r="K32" s="34">
        <v>0.519</v>
      </c>
      <c r="L32" s="34">
        <v>0.503</v>
      </c>
      <c r="M32" s="34">
        <v>0.548</v>
      </c>
      <c r="N32" s="34">
        <v>0.539</v>
      </c>
      <c r="O32" s="34">
        <v>0.507</v>
      </c>
      <c r="P32" s="34">
        <v>0.499</v>
      </c>
      <c r="Q32" s="34">
        <v>0.509</v>
      </c>
      <c r="R32" s="233"/>
      <c r="S32" s="34">
        <f t="shared" si="9"/>
        <v>0.5171668096751003</v>
      </c>
      <c r="T32" s="34">
        <f t="shared" si="10"/>
        <v>0.5264543786903868</v>
      </c>
      <c r="U32" s="314">
        <f t="shared" si="11"/>
        <v>-0.928756901528649</v>
      </c>
      <c r="V32" s="40"/>
      <c r="W32" s="233"/>
      <c r="X32" s="34">
        <f>(X16+X17)/X14</f>
        <v>0.5171668096751003</v>
      </c>
      <c r="Y32" s="34">
        <v>0.5264543786903868</v>
      </c>
      <c r="Z32" s="34">
        <v>0.515</v>
      </c>
      <c r="AA32" s="372">
        <v>0.525</v>
      </c>
      <c r="AB32" s="372">
        <v>0.536</v>
      </c>
      <c r="AC32" s="372">
        <v>0.528</v>
      </c>
      <c r="AD32" s="233"/>
      <c r="AF32" s="3"/>
      <c r="AI32" s="3"/>
    </row>
    <row r="33" spans="1:35" ht="12.75" customHeight="1">
      <c r="A33" s="229" t="s">
        <v>155</v>
      </c>
      <c r="B33" s="229"/>
      <c r="C33" s="314">
        <f t="shared" si="8"/>
        <v>-97.56113273386123</v>
      </c>
      <c r="D33" s="40"/>
      <c r="E33" s="40"/>
      <c r="F33" s="34">
        <f>(F18+F19+F20+F21+F22+F23+F24+F25+F26)/F14</f>
        <v>0.30438867266138775</v>
      </c>
      <c r="G33" s="34">
        <v>0.6848383633544077</v>
      </c>
      <c r="H33" s="34">
        <v>0.28095064318949003</v>
      </c>
      <c r="I33" s="34">
        <v>0.2411629474703127</v>
      </c>
      <c r="J33" s="34">
        <v>1.28</v>
      </c>
      <c r="K33" s="34">
        <v>0.268</v>
      </c>
      <c r="L33" s="34">
        <v>0.264</v>
      </c>
      <c r="M33" s="34">
        <v>0.20299999999999996</v>
      </c>
      <c r="N33" s="34">
        <v>0.19</v>
      </c>
      <c r="O33" s="34">
        <v>0.22199999999999998</v>
      </c>
      <c r="P33" s="34">
        <v>0.244</v>
      </c>
      <c r="Q33" s="34">
        <v>0.255</v>
      </c>
      <c r="R33" s="233"/>
      <c r="S33" s="34">
        <f t="shared" si="9"/>
        <v>0.3511861969805895</v>
      </c>
      <c r="T33" s="34">
        <f t="shared" si="10"/>
        <v>0.4687087308882618</v>
      </c>
      <c r="U33" s="314">
        <f t="shared" si="11"/>
        <v>-11.752253390767232</v>
      </c>
      <c r="V33" s="40"/>
      <c r="W33" s="233"/>
      <c r="X33" s="34">
        <f>(X18+X19+X20+X21+X22+X23+X24+X25+X26)/X14</f>
        <v>0.3511861969805895</v>
      </c>
      <c r="Y33" s="34">
        <v>0.4687087308882618</v>
      </c>
      <c r="Z33" s="34">
        <v>0.22599999999999998</v>
      </c>
      <c r="AA33" s="372">
        <v>0.20299999999999996</v>
      </c>
      <c r="AB33" s="372">
        <v>0.18</v>
      </c>
      <c r="AC33" s="372">
        <v>0.14600000000000002</v>
      </c>
      <c r="AD33" s="233"/>
      <c r="AF33" s="3"/>
      <c r="AI33" s="3"/>
    </row>
    <row r="34" spans="1:35" ht="12.75" customHeight="1">
      <c r="A34" s="229" t="s">
        <v>156</v>
      </c>
      <c r="B34" s="229"/>
      <c r="C34" s="314">
        <f t="shared" si="8"/>
        <v>-103.24667829821502</v>
      </c>
      <c r="D34" s="40"/>
      <c r="E34" s="40"/>
      <c r="F34" s="34">
        <f>F27/F14</f>
        <v>0.7775332170178499</v>
      </c>
      <c r="G34" s="34">
        <v>1.1993319813909102</v>
      </c>
      <c r="H34" s="34">
        <v>0.8190630416932762</v>
      </c>
      <c r="I34" s="34">
        <v>0.7723540697975905</v>
      </c>
      <c r="J34" s="34">
        <v>1.81</v>
      </c>
      <c r="K34" s="34">
        <v>0.787</v>
      </c>
      <c r="L34" s="34">
        <v>0.767</v>
      </c>
      <c r="M34" s="34">
        <v>0.751</v>
      </c>
      <c r="N34" s="34">
        <v>0.729</v>
      </c>
      <c r="O34" s="34">
        <v>0.729</v>
      </c>
      <c r="P34" s="34">
        <v>0.743</v>
      </c>
      <c r="Q34" s="34">
        <v>0.764</v>
      </c>
      <c r="R34" s="233"/>
      <c r="S34" s="34">
        <f t="shared" si="9"/>
        <v>0.8683530066556898</v>
      </c>
      <c r="T34" s="34">
        <f t="shared" si="10"/>
        <v>0.9951631095786486</v>
      </c>
      <c r="U34" s="314">
        <f t="shared" si="11"/>
        <v>-12.68101029229588</v>
      </c>
      <c r="V34" s="40"/>
      <c r="W34" s="233"/>
      <c r="X34" s="34">
        <f>X27/X14</f>
        <v>0.8683530066556898</v>
      </c>
      <c r="Y34" s="34">
        <v>0.9951631095786486</v>
      </c>
      <c r="Z34" s="34">
        <v>0.741</v>
      </c>
      <c r="AA34" s="372">
        <v>0.728</v>
      </c>
      <c r="AB34" s="372">
        <v>0.716</v>
      </c>
      <c r="AC34" s="372">
        <v>0.674</v>
      </c>
      <c r="AD34" s="233"/>
      <c r="AF34" s="3"/>
      <c r="AI34" s="3"/>
    </row>
    <row r="35" spans="1:35" ht="12.75" customHeight="1">
      <c r="A35" s="229" t="s">
        <v>157</v>
      </c>
      <c r="B35" s="229"/>
      <c r="C35" s="314">
        <f t="shared" si="8"/>
        <v>103.24667829821502</v>
      </c>
      <c r="D35" s="40"/>
      <c r="E35" s="40"/>
      <c r="F35" s="34">
        <f>F28/F14</f>
        <v>0.22246678298215006</v>
      </c>
      <c r="G35" s="34">
        <v>-0.19933198139091018</v>
      </c>
      <c r="H35" s="34">
        <v>0.18093695830672385</v>
      </c>
      <c r="I35" s="34">
        <v>0.22764593020240956</v>
      </c>
      <c r="J35" s="34">
        <v>-0.81</v>
      </c>
      <c r="K35" s="34">
        <v>0.21299999999999997</v>
      </c>
      <c r="L35" s="34">
        <v>0.23299999999999998</v>
      </c>
      <c r="M35" s="34">
        <v>0.249</v>
      </c>
      <c r="N35" s="34">
        <v>0.271</v>
      </c>
      <c r="O35" s="34">
        <v>0.271</v>
      </c>
      <c r="P35" s="34">
        <v>0.257</v>
      </c>
      <c r="Q35" s="34">
        <v>0.236</v>
      </c>
      <c r="R35" s="233"/>
      <c r="S35" s="34">
        <f t="shared" si="9"/>
        <v>0.1316469933443102</v>
      </c>
      <c r="T35" s="34">
        <f t="shared" si="10"/>
        <v>0.004836890421351359</v>
      </c>
      <c r="U35" s="314">
        <f t="shared" si="11"/>
        <v>12.681010292295886</v>
      </c>
      <c r="V35" s="40"/>
      <c r="W35" s="233"/>
      <c r="X35" s="34">
        <f>X28/X14</f>
        <v>0.1316469933443102</v>
      </c>
      <c r="Y35" s="34">
        <v>0.004836890421351359</v>
      </c>
      <c r="Z35" s="34">
        <v>0.259</v>
      </c>
      <c r="AA35" s="372">
        <v>0.272</v>
      </c>
      <c r="AB35" s="372">
        <v>0.28400000000000003</v>
      </c>
      <c r="AC35" s="372">
        <v>0.32599999999999996</v>
      </c>
      <c r="AD35" s="233"/>
      <c r="AF35" s="3"/>
      <c r="AI35" s="3"/>
    </row>
    <row r="36" spans="1:35" ht="12.75" customHeight="1">
      <c r="A36" s="229"/>
      <c r="B36" s="229"/>
      <c r="C36" s="30"/>
      <c r="D36" s="40"/>
      <c r="E36" s="40"/>
      <c r="F36" s="40"/>
      <c r="G36" s="40"/>
      <c r="H36" s="40"/>
      <c r="I36" s="233"/>
      <c r="J36" s="92"/>
      <c r="K36" s="92"/>
      <c r="L36" s="92"/>
      <c r="M36" s="92"/>
      <c r="N36" s="272"/>
      <c r="O36" s="272"/>
      <c r="P36" s="272"/>
      <c r="Q36" s="272"/>
      <c r="R36" s="233"/>
      <c r="S36" s="400"/>
      <c r="T36" s="400"/>
      <c r="U36" s="30"/>
      <c r="V36" s="40"/>
      <c r="W36" s="233"/>
      <c r="X36" s="233"/>
      <c r="Y36" s="30"/>
      <c r="Z36" s="30"/>
      <c r="AA36" s="373"/>
      <c r="AB36" s="373"/>
      <c r="AC36" s="373"/>
      <c r="AD36" s="233"/>
      <c r="AF36" s="3"/>
      <c r="AI36" s="3"/>
    </row>
    <row r="37" spans="1:35" ht="12.75" customHeight="1">
      <c r="A37" s="313" t="s">
        <v>240</v>
      </c>
      <c r="B37" s="229"/>
      <c r="C37" s="30">
        <f>F37-J37</f>
        <v>-337</v>
      </c>
      <c r="D37" s="40">
        <f>C37/J37</f>
        <v>-0.46164383561643835</v>
      </c>
      <c r="E37" s="40"/>
      <c r="F37" s="30">
        <f>'10 Misc Operating Stats'!F29</f>
        <v>393</v>
      </c>
      <c r="G37" s="30">
        <v>454</v>
      </c>
      <c r="H37" s="30">
        <v>609</v>
      </c>
      <c r="I37" s="30">
        <v>747</v>
      </c>
      <c r="J37" s="30">
        <v>730</v>
      </c>
      <c r="K37" s="30">
        <v>760</v>
      </c>
      <c r="L37" s="30">
        <v>777</v>
      </c>
      <c r="M37" s="30">
        <v>815</v>
      </c>
      <c r="N37" s="30">
        <v>807</v>
      </c>
      <c r="O37" s="30">
        <v>814</v>
      </c>
      <c r="P37" s="30">
        <v>745</v>
      </c>
      <c r="Q37" s="30">
        <v>712</v>
      </c>
      <c r="R37" s="233"/>
      <c r="S37" s="400">
        <f>X37</f>
        <v>393</v>
      </c>
      <c r="T37" s="400">
        <f>Y37</f>
        <v>730</v>
      </c>
      <c r="U37" s="30">
        <f t="shared" si="1"/>
        <v>-337</v>
      </c>
      <c r="V37" s="40">
        <f t="shared" si="2"/>
        <v>-0.46164383561643835</v>
      </c>
      <c r="W37" s="233"/>
      <c r="X37" s="30">
        <f>'10 Misc Operating Stats'!X29</f>
        <v>393</v>
      </c>
      <c r="Y37" s="30">
        <v>730</v>
      </c>
      <c r="Z37" s="30">
        <v>807</v>
      </c>
      <c r="AA37" s="384">
        <v>613</v>
      </c>
      <c r="AB37" s="384">
        <v>380</v>
      </c>
      <c r="AC37" s="384">
        <v>237</v>
      </c>
      <c r="AD37" s="233"/>
      <c r="AF37" s="3"/>
      <c r="AI37" s="3"/>
    </row>
    <row r="38" spans="1:35" ht="12.75" customHeight="1">
      <c r="A38" s="313" t="s">
        <v>241</v>
      </c>
      <c r="B38" s="231"/>
      <c r="C38" s="30">
        <f>F38-J38</f>
        <v>-5111</v>
      </c>
      <c r="D38" s="40">
        <f>C38/J38</f>
        <v>-0.35753760055963624</v>
      </c>
      <c r="E38" s="40"/>
      <c r="F38" s="30">
        <f>'10 Misc Operating Stats'!F30</f>
        <v>9184</v>
      </c>
      <c r="G38" s="30">
        <v>9030</v>
      </c>
      <c r="H38" s="30">
        <v>11584</v>
      </c>
      <c r="I38" s="30">
        <v>14695</v>
      </c>
      <c r="J38" s="30">
        <v>14295</v>
      </c>
      <c r="K38" s="30">
        <v>14860</v>
      </c>
      <c r="L38" s="30">
        <v>15288</v>
      </c>
      <c r="M38" s="30">
        <v>15701</v>
      </c>
      <c r="N38" s="30">
        <v>15014</v>
      </c>
      <c r="O38" s="30">
        <v>14121</v>
      </c>
      <c r="P38" s="30">
        <v>13826</v>
      </c>
      <c r="Q38" s="30">
        <v>13942</v>
      </c>
      <c r="R38" s="233"/>
      <c r="S38" s="400">
        <f>X38</f>
        <v>9184</v>
      </c>
      <c r="T38" s="400">
        <f>Y38</f>
        <v>14295</v>
      </c>
      <c r="U38" s="30">
        <f t="shared" si="1"/>
        <v>-5111</v>
      </c>
      <c r="V38" s="40">
        <f t="shared" si="2"/>
        <v>-0.35753760055963624</v>
      </c>
      <c r="W38" s="233"/>
      <c r="X38" s="30">
        <f>'10 Misc Operating Stats'!X30</f>
        <v>9184</v>
      </c>
      <c r="Y38" s="30">
        <v>14295</v>
      </c>
      <c r="Z38" s="30">
        <v>15014</v>
      </c>
      <c r="AA38" s="384">
        <v>14310</v>
      </c>
      <c r="AB38" s="384">
        <v>9967</v>
      </c>
      <c r="AC38" s="384">
        <v>8292</v>
      </c>
      <c r="AD38" s="233"/>
      <c r="AF38" s="3"/>
      <c r="AI38" s="3"/>
    </row>
    <row r="39" spans="1:35" ht="12.75" customHeight="1">
      <c r="A39" s="230"/>
      <c r="B39" s="231"/>
      <c r="C39" s="30"/>
      <c r="D39" s="40"/>
      <c r="E39" s="40"/>
      <c r="F39" s="30"/>
      <c r="G39" s="30"/>
      <c r="H39" s="30"/>
      <c r="I39" s="30"/>
      <c r="J39" s="30"/>
      <c r="K39" s="30"/>
      <c r="L39" s="30"/>
      <c r="M39" s="30"/>
      <c r="N39" s="30"/>
      <c r="O39" s="30"/>
      <c r="P39" s="30"/>
      <c r="Q39" s="30"/>
      <c r="R39" s="233"/>
      <c r="S39" s="400"/>
      <c r="T39" s="400"/>
      <c r="U39" s="30"/>
      <c r="V39" s="40"/>
      <c r="W39" s="233"/>
      <c r="X39" s="30"/>
      <c r="Y39" s="30"/>
      <c r="Z39" s="30"/>
      <c r="AA39" s="229"/>
      <c r="AB39" s="229"/>
      <c r="AC39" s="229"/>
      <c r="AD39" s="233"/>
      <c r="AF39" s="3"/>
      <c r="AI39" s="3"/>
    </row>
    <row r="40" spans="1:35" ht="12.75" customHeight="1">
      <c r="A40" s="230" t="s">
        <v>179</v>
      </c>
      <c r="B40" s="231"/>
      <c r="C40" s="30">
        <f>F40-J40</f>
        <v>-62</v>
      </c>
      <c r="D40" s="40">
        <f>C40/J40</f>
        <v>-0.08136482939632546</v>
      </c>
      <c r="E40" s="40"/>
      <c r="F40" s="30">
        <f>'10 Misc Operating Stats'!F13</f>
        <v>700</v>
      </c>
      <c r="G40" s="30">
        <v>725</v>
      </c>
      <c r="H40" s="30">
        <v>744</v>
      </c>
      <c r="I40" s="30">
        <v>760</v>
      </c>
      <c r="J40" s="30">
        <v>762</v>
      </c>
      <c r="K40" s="30">
        <v>772</v>
      </c>
      <c r="L40" s="30">
        <v>784</v>
      </c>
      <c r="M40" s="30">
        <v>757</v>
      </c>
      <c r="N40" s="30">
        <v>728</v>
      </c>
      <c r="O40" s="30">
        <v>725</v>
      </c>
      <c r="P40" s="30">
        <v>719</v>
      </c>
      <c r="Q40" s="30">
        <v>710</v>
      </c>
      <c r="R40" s="233"/>
      <c r="S40" s="400">
        <f aca="true" t="shared" si="12" ref="S40:T42">X40</f>
        <v>700</v>
      </c>
      <c r="T40" s="400">
        <f t="shared" si="12"/>
        <v>762</v>
      </c>
      <c r="U40" s="30">
        <f t="shared" si="1"/>
        <v>-62</v>
      </c>
      <c r="V40" s="40">
        <f t="shared" si="2"/>
        <v>-0.08136482939632546</v>
      </c>
      <c r="W40" s="233"/>
      <c r="X40" s="30">
        <f>'10 Misc Operating Stats'!X13</f>
        <v>700</v>
      </c>
      <c r="Y40" s="30">
        <v>762</v>
      </c>
      <c r="Z40" s="30">
        <v>728</v>
      </c>
      <c r="AA40" s="384">
        <v>689</v>
      </c>
      <c r="AB40" s="384">
        <v>657</v>
      </c>
      <c r="AC40" s="384">
        <v>623</v>
      </c>
      <c r="AD40" s="233"/>
      <c r="AF40" s="3"/>
      <c r="AI40" s="3"/>
    </row>
    <row r="41" spans="1:35" ht="12.75" customHeight="1">
      <c r="A41" s="313" t="s">
        <v>269</v>
      </c>
      <c r="B41" s="230"/>
      <c r="C41" s="30">
        <f>F41-J41</f>
        <v>-16</v>
      </c>
      <c r="D41" s="40">
        <f>C41/J41</f>
        <v>-0.04519774011299435</v>
      </c>
      <c r="E41" s="40"/>
      <c r="F41" s="30">
        <f>'10 Misc Operating Stats'!F25</f>
        <v>338</v>
      </c>
      <c r="G41" s="30">
        <v>347</v>
      </c>
      <c r="H41" s="30">
        <v>341</v>
      </c>
      <c r="I41" s="30">
        <v>354</v>
      </c>
      <c r="J41" s="30">
        <v>354</v>
      </c>
      <c r="K41" s="30">
        <v>377</v>
      </c>
      <c r="L41" s="30">
        <v>378</v>
      </c>
      <c r="M41" s="30">
        <v>373</v>
      </c>
      <c r="N41" s="30">
        <v>368</v>
      </c>
      <c r="O41" s="30">
        <v>368</v>
      </c>
      <c r="P41" s="30">
        <v>371</v>
      </c>
      <c r="Q41" s="30">
        <v>373</v>
      </c>
      <c r="R41" s="233"/>
      <c r="S41" s="400">
        <f t="shared" si="12"/>
        <v>338</v>
      </c>
      <c r="T41" s="400">
        <f t="shared" si="12"/>
        <v>354</v>
      </c>
      <c r="U41" s="30">
        <f t="shared" si="1"/>
        <v>-16</v>
      </c>
      <c r="V41" s="40">
        <f t="shared" si="2"/>
        <v>-0.04519774011299435</v>
      </c>
      <c r="W41" s="233"/>
      <c r="X41" s="30">
        <f>'10 Misc Operating Stats'!X25</f>
        <v>338</v>
      </c>
      <c r="Y41" s="30">
        <v>354</v>
      </c>
      <c r="Z41" s="30">
        <v>368</v>
      </c>
      <c r="AA41" s="384">
        <v>365</v>
      </c>
      <c r="AB41" s="384">
        <v>343</v>
      </c>
      <c r="AC41" s="384">
        <v>327</v>
      </c>
      <c r="AD41" s="233"/>
      <c r="AF41" s="3"/>
      <c r="AI41" s="3"/>
    </row>
    <row r="42" spans="1:35" ht="12.75" customHeight="1">
      <c r="A42" s="230" t="s">
        <v>182</v>
      </c>
      <c r="B42" s="230"/>
      <c r="C42" s="30">
        <f>F42-J42</f>
        <v>-7911</v>
      </c>
      <c r="D42" s="40">
        <f>C42/J42</f>
        <v>-0.04505895084581649</v>
      </c>
      <c r="E42" s="40"/>
      <c r="F42" s="30">
        <f>'10 Misc Operating Stats'!F27</f>
        <v>167659</v>
      </c>
      <c r="G42" s="30">
        <v>171199</v>
      </c>
      <c r="H42" s="30">
        <v>173949</v>
      </c>
      <c r="I42" s="30">
        <v>175976</v>
      </c>
      <c r="J42" s="30">
        <v>175570</v>
      </c>
      <c r="K42" s="30">
        <v>173599</v>
      </c>
      <c r="L42" s="30">
        <v>170879</v>
      </c>
      <c r="M42" s="30">
        <v>170054</v>
      </c>
      <c r="N42" s="30">
        <v>156003</v>
      </c>
      <c r="O42" s="30">
        <v>160793</v>
      </c>
      <c r="P42" s="30">
        <v>158866</v>
      </c>
      <c r="Q42" s="30">
        <v>156828</v>
      </c>
      <c r="R42" s="233"/>
      <c r="S42" s="400">
        <f t="shared" si="12"/>
        <v>167659</v>
      </c>
      <c r="T42" s="400">
        <f t="shared" si="12"/>
        <v>175570</v>
      </c>
      <c r="U42" s="30">
        <f t="shared" si="1"/>
        <v>-7911</v>
      </c>
      <c r="V42" s="40">
        <f t="shared" si="2"/>
        <v>-0.04505895084581649</v>
      </c>
      <c r="W42" s="233"/>
      <c r="X42" s="30">
        <f>'10 Misc Operating Stats'!X27</f>
        <v>167659</v>
      </c>
      <c r="Y42" s="30">
        <v>175570</v>
      </c>
      <c r="Z42" s="30">
        <v>156003</v>
      </c>
      <c r="AA42" s="384">
        <v>155404</v>
      </c>
      <c r="AB42" s="384">
        <v>144451</v>
      </c>
      <c r="AC42" s="384">
        <v>138142</v>
      </c>
      <c r="AD42" s="233"/>
      <c r="AF42" s="3"/>
      <c r="AI42" s="3"/>
    </row>
    <row r="43" spans="1:35" ht="12.75" customHeight="1">
      <c r="A43" s="7"/>
      <c r="B43" s="7"/>
      <c r="C43" s="233"/>
      <c r="D43" s="233"/>
      <c r="E43" s="233"/>
      <c r="F43" s="233"/>
      <c r="G43" s="233"/>
      <c r="H43" s="233"/>
      <c r="I43" s="7"/>
      <c r="J43" s="233"/>
      <c r="K43" s="233"/>
      <c r="L43" s="233"/>
      <c r="M43" s="233"/>
      <c r="N43" s="233"/>
      <c r="O43" s="233"/>
      <c r="P43" s="233"/>
      <c r="Q43" s="233"/>
      <c r="R43" s="233"/>
      <c r="S43" s="233"/>
      <c r="T43" s="233"/>
      <c r="U43" s="233"/>
      <c r="V43" s="233"/>
      <c r="W43" s="233"/>
      <c r="X43" s="233"/>
      <c r="Y43" s="233"/>
      <c r="Z43" s="233"/>
      <c r="AA43" s="229"/>
      <c r="AB43" s="92"/>
      <c r="AC43" s="92"/>
      <c r="AD43" s="233"/>
      <c r="AF43" s="3"/>
      <c r="AI43" s="3"/>
    </row>
    <row r="44" spans="1:35" ht="18" customHeight="1">
      <c r="A44" s="12" t="s">
        <v>280</v>
      </c>
      <c r="B44" s="7"/>
      <c r="C44" s="92"/>
      <c r="D44" s="92"/>
      <c r="E44" s="233"/>
      <c r="F44" s="233"/>
      <c r="G44" s="233"/>
      <c r="H44" s="233"/>
      <c r="I44" s="233"/>
      <c r="J44" s="233"/>
      <c r="K44" s="233"/>
      <c r="L44" s="92"/>
      <c r="M44" s="92"/>
      <c r="N44" s="92"/>
      <c r="O44" s="92"/>
      <c r="P44" s="92"/>
      <c r="Q44" s="92"/>
      <c r="R44" s="92"/>
      <c r="S44" s="233"/>
      <c r="T44" s="233"/>
      <c r="U44" s="233"/>
      <c r="V44" s="233"/>
      <c r="W44" s="92"/>
      <c r="X44" s="92"/>
      <c r="Y44" s="92"/>
      <c r="Z44" s="92"/>
      <c r="AA44" s="229"/>
      <c r="AB44" s="92"/>
      <c r="AC44" s="92"/>
      <c r="AD44" s="233"/>
      <c r="AF44" s="3"/>
      <c r="AI44" s="3"/>
    </row>
    <row r="45" spans="1:35" ht="12.75" customHeight="1">
      <c r="A45" s="279"/>
      <c r="B45" s="7"/>
      <c r="C45" s="92"/>
      <c r="D45" s="92"/>
      <c r="E45" s="233"/>
      <c r="F45" s="532"/>
      <c r="G45" s="233"/>
      <c r="H45" s="233"/>
      <c r="I45" s="233"/>
      <c r="J45" s="233"/>
      <c r="K45" s="233"/>
      <c r="L45" s="92"/>
      <c r="M45" s="92"/>
      <c r="N45" s="92"/>
      <c r="O45" s="92"/>
      <c r="P45" s="92"/>
      <c r="Q45" s="92"/>
      <c r="R45" s="92"/>
      <c r="S45" s="233"/>
      <c r="T45" s="233"/>
      <c r="U45" s="233"/>
      <c r="V45" s="233"/>
      <c r="W45" s="92"/>
      <c r="X45" s="92"/>
      <c r="Y45" s="92"/>
      <c r="Z45" s="92"/>
      <c r="AA45" s="371"/>
      <c r="AB45" s="371"/>
      <c r="AC45" s="371"/>
      <c r="AD45" s="233"/>
      <c r="AF45" s="3"/>
      <c r="AI45" s="3"/>
    </row>
    <row r="46" spans="1:35" ht="12.75" customHeight="1">
      <c r="A46" s="6"/>
      <c r="B46" s="7"/>
      <c r="C46" s="611" t="str">
        <f>C9</f>
        <v>Q4/09 vs. Q4/08</v>
      </c>
      <c r="D46" s="629"/>
      <c r="E46" s="15"/>
      <c r="F46" s="282"/>
      <c r="G46" s="281"/>
      <c r="H46" s="281"/>
      <c r="I46" s="250"/>
      <c r="J46" s="282"/>
      <c r="K46" s="281"/>
      <c r="L46" s="281"/>
      <c r="M46" s="250"/>
      <c r="N46" s="280"/>
      <c r="O46" s="250"/>
      <c r="P46" s="250"/>
      <c r="Q46" s="250"/>
      <c r="R46" s="99"/>
      <c r="S46" s="611" t="str">
        <f>S9</f>
        <v>FY09 vs FY08</v>
      </c>
      <c r="T46" s="640"/>
      <c r="U46" s="640"/>
      <c r="V46" s="641"/>
      <c r="W46" s="15"/>
      <c r="X46" s="98"/>
      <c r="Y46" s="282"/>
      <c r="Z46" s="280"/>
      <c r="AA46" s="98"/>
      <c r="AB46" s="98"/>
      <c r="AC46" s="98"/>
      <c r="AD46" s="233"/>
      <c r="AF46" s="3"/>
      <c r="AI46" s="3"/>
    </row>
    <row r="47" spans="1:35" ht="12.75" customHeight="1">
      <c r="A47" s="6" t="s">
        <v>199</v>
      </c>
      <c r="B47" s="7"/>
      <c r="C47" s="635" t="s">
        <v>51</v>
      </c>
      <c r="D47" s="636"/>
      <c r="E47" s="283"/>
      <c r="F47" s="20" t="s">
        <v>166</v>
      </c>
      <c r="G47" s="21" t="s">
        <v>167</v>
      </c>
      <c r="H47" s="21" t="s">
        <v>168</v>
      </c>
      <c r="I47" s="14" t="s">
        <v>42</v>
      </c>
      <c r="J47" s="20" t="s">
        <v>43</v>
      </c>
      <c r="K47" s="21" t="s">
        <v>44</v>
      </c>
      <c r="L47" s="21" t="s">
        <v>45</v>
      </c>
      <c r="M47" s="14" t="s">
        <v>46</v>
      </c>
      <c r="N47" s="23" t="s">
        <v>47</v>
      </c>
      <c r="O47" s="14" t="s">
        <v>48</v>
      </c>
      <c r="P47" s="14" t="s">
        <v>49</v>
      </c>
      <c r="Q47" s="14" t="s">
        <v>50</v>
      </c>
      <c r="R47" s="345"/>
      <c r="S47" s="318" t="str">
        <f>S10</f>
        <v>FY09</v>
      </c>
      <c r="T47" s="15" t="str">
        <f>T10</f>
        <v>FY08</v>
      </c>
      <c r="U47" s="637" t="s">
        <v>51</v>
      </c>
      <c r="V47" s="638"/>
      <c r="W47" s="283"/>
      <c r="X47" s="20" t="s">
        <v>55</v>
      </c>
      <c r="Y47" s="20" t="s">
        <v>52</v>
      </c>
      <c r="Z47" s="23" t="s">
        <v>53</v>
      </c>
      <c r="AA47" s="23" t="s">
        <v>242</v>
      </c>
      <c r="AB47" s="23" t="s">
        <v>243</v>
      </c>
      <c r="AC47" s="23" t="s">
        <v>249</v>
      </c>
      <c r="AD47" s="233"/>
      <c r="AF47" s="3"/>
      <c r="AI47" s="3"/>
    </row>
    <row r="48" spans="1:35" ht="12.75" customHeight="1">
      <c r="A48" s="232"/>
      <c r="B48" s="233" t="s">
        <v>4</v>
      </c>
      <c r="C48" s="527">
        <f>F48-J48</f>
        <v>-17208</v>
      </c>
      <c r="D48" s="418">
        <f>C48/J48</f>
        <v>-0.315957622606173</v>
      </c>
      <c r="E48" s="233"/>
      <c r="F48" s="316">
        <f>F14</f>
        <v>37255</v>
      </c>
      <c r="G48" s="400">
        <v>33532</v>
      </c>
      <c r="H48" s="400">
        <v>43844</v>
      </c>
      <c r="I48" s="463">
        <v>57853</v>
      </c>
      <c r="J48" s="260">
        <v>54463</v>
      </c>
      <c r="K48" s="298">
        <v>61166</v>
      </c>
      <c r="L48" s="298">
        <v>57415</v>
      </c>
      <c r="M48" s="302">
        <v>76083</v>
      </c>
      <c r="N48" s="312">
        <v>75876</v>
      </c>
      <c r="O48" s="302">
        <v>68831</v>
      </c>
      <c r="P48" s="302">
        <v>55626</v>
      </c>
      <c r="Q48" s="311">
        <v>72286</v>
      </c>
      <c r="R48" s="99"/>
      <c r="S48" s="316">
        <f aca="true" t="shared" si="13" ref="S48:T50">X48</f>
        <v>172484</v>
      </c>
      <c r="T48" s="416">
        <f t="shared" si="13"/>
        <v>249127</v>
      </c>
      <c r="U48" s="417">
        <f>S48-T48</f>
        <v>-76643</v>
      </c>
      <c r="V48" s="418">
        <f>U48/T48</f>
        <v>-0.3076463008826823</v>
      </c>
      <c r="W48" s="92"/>
      <c r="X48" s="265">
        <f>F48+G48+H48+I48</f>
        <v>172484</v>
      </c>
      <c r="Y48" s="310">
        <v>249127</v>
      </c>
      <c r="Z48" s="310">
        <v>272619</v>
      </c>
      <c r="AA48" s="310">
        <v>225194</v>
      </c>
      <c r="AB48" s="312">
        <v>178176</v>
      </c>
      <c r="AC48" s="312">
        <v>175983</v>
      </c>
      <c r="AD48" s="233"/>
      <c r="AF48" s="3"/>
      <c r="AI48" s="3"/>
    </row>
    <row r="49" spans="1:35" ht="12.75" customHeight="1">
      <c r="A49" s="92"/>
      <c r="B49" s="233" t="s">
        <v>163</v>
      </c>
      <c r="C49" s="93">
        <f>F49-J49</f>
        <v>-14736</v>
      </c>
      <c r="D49" s="44">
        <f>C49/J49</f>
        <v>-0.33718509026840265</v>
      </c>
      <c r="E49" s="11"/>
      <c r="F49" s="503">
        <f>F16+F17+F18+F19+F20+F21+F22+F23+F24</f>
        <v>28967</v>
      </c>
      <c r="G49" s="530">
        <v>34689</v>
      </c>
      <c r="H49" s="530">
        <v>35911</v>
      </c>
      <c r="I49" s="463">
        <v>44683</v>
      </c>
      <c r="J49" s="260">
        <v>43703</v>
      </c>
      <c r="K49" s="298">
        <v>48132</v>
      </c>
      <c r="L49" s="298">
        <v>44039</v>
      </c>
      <c r="M49" s="302">
        <v>57148</v>
      </c>
      <c r="N49" s="246">
        <v>55349</v>
      </c>
      <c r="O49" s="302">
        <v>50178</v>
      </c>
      <c r="P49" s="302">
        <v>41346</v>
      </c>
      <c r="Q49" s="302">
        <v>55217</v>
      </c>
      <c r="R49" s="99"/>
      <c r="S49" s="317">
        <f t="shared" si="13"/>
        <v>144250</v>
      </c>
      <c r="T49" s="400">
        <f t="shared" si="13"/>
        <v>193022</v>
      </c>
      <c r="U49" s="238">
        <f>S49-T49</f>
        <v>-48772</v>
      </c>
      <c r="V49" s="44">
        <f>U49/T49</f>
        <v>-0.2526758607827087</v>
      </c>
      <c r="W49" s="92"/>
      <c r="X49" s="265">
        <f>F49+G49+H49+I49</f>
        <v>144250</v>
      </c>
      <c r="Y49" s="260">
        <v>193022</v>
      </c>
      <c r="Z49" s="260">
        <v>202090</v>
      </c>
      <c r="AA49" s="260">
        <v>163976</v>
      </c>
      <c r="AB49" s="246">
        <v>127504</v>
      </c>
      <c r="AC49" s="246">
        <v>118638</v>
      </c>
      <c r="AD49" s="233"/>
      <c r="AF49" s="3"/>
      <c r="AI49" s="3"/>
    </row>
    <row r="50" spans="1:35" ht="12.75" customHeight="1">
      <c r="A50" s="92"/>
      <c r="B50" s="233" t="s">
        <v>151</v>
      </c>
      <c r="C50" s="239">
        <f>F50-J50</f>
        <v>-2472</v>
      </c>
      <c r="D50" s="240">
        <f>C50/J50</f>
        <v>-0.22973977695167286</v>
      </c>
      <c r="E50" s="11"/>
      <c r="F50" s="554">
        <f>F48-F49</f>
        <v>8288</v>
      </c>
      <c r="G50" s="543">
        <v>-1157</v>
      </c>
      <c r="H50" s="543">
        <v>7933</v>
      </c>
      <c r="I50" s="465">
        <v>13170</v>
      </c>
      <c r="J50" s="297">
        <v>10760</v>
      </c>
      <c r="K50" s="304">
        <v>13034</v>
      </c>
      <c r="L50" s="304">
        <v>13376</v>
      </c>
      <c r="M50" s="305">
        <v>18935</v>
      </c>
      <c r="N50" s="292">
        <v>20527</v>
      </c>
      <c r="O50" s="305">
        <v>18653</v>
      </c>
      <c r="P50" s="305">
        <v>14280</v>
      </c>
      <c r="Q50" s="305">
        <v>17069</v>
      </c>
      <c r="R50" s="99"/>
      <c r="S50" s="315">
        <f t="shared" si="13"/>
        <v>28234</v>
      </c>
      <c r="T50" s="412">
        <f t="shared" si="13"/>
        <v>56105</v>
      </c>
      <c r="U50" s="419">
        <f>S50-T50</f>
        <v>-27871</v>
      </c>
      <c r="V50" s="240">
        <f>U50/T50</f>
        <v>-0.4967649942072899</v>
      </c>
      <c r="W50" s="92"/>
      <c r="X50" s="284">
        <f>F50+G50+H50+I50</f>
        <v>28234</v>
      </c>
      <c r="Y50" s="297">
        <v>56105</v>
      </c>
      <c r="Z50" s="297">
        <v>70529</v>
      </c>
      <c r="AA50" s="297">
        <v>61218</v>
      </c>
      <c r="AB50" s="292">
        <v>50672</v>
      </c>
      <c r="AC50" s="292">
        <v>57345</v>
      </c>
      <c r="AD50" s="233"/>
      <c r="AF50" s="3"/>
      <c r="AI50" s="3"/>
    </row>
    <row r="51" spans="1:35" ht="12.75" customHeight="1">
      <c r="A51" s="92"/>
      <c r="B51" s="233"/>
      <c r="C51" s="238"/>
      <c r="D51" s="11"/>
      <c r="E51" s="11"/>
      <c r="F51" s="11"/>
      <c r="G51" s="11"/>
      <c r="H51" s="11"/>
      <c r="I51" s="233"/>
      <c r="J51" s="92"/>
      <c r="K51" s="92"/>
      <c r="L51" s="92"/>
      <c r="M51" s="92"/>
      <c r="N51" s="92"/>
      <c r="O51" s="92"/>
      <c r="P51" s="92"/>
      <c r="Q51" s="92"/>
      <c r="R51" s="233"/>
      <c r="S51" s="233"/>
      <c r="T51" s="233"/>
      <c r="U51" s="238"/>
      <c r="V51" s="11"/>
      <c r="W51" s="233"/>
      <c r="X51" s="233"/>
      <c r="Y51" s="92"/>
      <c r="Z51" s="92"/>
      <c r="AA51" s="30"/>
      <c r="AB51" s="30"/>
      <c r="AC51" s="30"/>
      <c r="AD51" s="233"/>
      <c r="AF51" s="3"/>
      <c r="AI51" s="3"/>
    </row>
    <row r="52" spans="1:35" ht="12.75" customHeight="1">
      <c r="A52" s="92"/>
      <c r="B52" s="230" t="s">
        <v>155</v>
      </c>
      <c r="C52" s="314">
        <f>(F52-J52)*100</f>
        <v>3.165305398448781</v>
      </c>
      <c r="D52" s="11"/>
      <c r="E52" s="11"/>
      <c r="F52" s="11">
        <f>(F18+F19+F20+F21+F22+F23+F24)/F48</f>
        <v>0.30438867266138775</v>
      </c>
      <c r="G52" s="11">
        <v>0.5200107360133603</v>
      </c>
      <c r="H52" s="11">
        <v>0.28095064318949003</v>
      </c>
      <c r="I52" s="11">
        <v>0.2411629474703127</v>
      </c>
      <c r="J52" s="34">
        <v>0.27273561867689994</v>
      </c>
      <c r="K52" s="34">
        <v>0.268</v>
      </c>
      <c r="L52" s="34">
        <v>0.264</v>
      </c>
      <c r="M52" s="34">
        <v>0.20299999999999996</v>
      </c>
      <c r="N52" s="34">
        <v>0.19</v>
      </c>
      <c r="O52" s="34">
        <v>0.22199999999999998</v>
      </c>
      <c r="P52" s="34">
        <v>0.244</v>
      </c>
      <c r="Q52" s="34">
        <v>0.255</v>
      </c>
      <c r="R52" s="233"/>
      <c r="S52" s="276">
        <f aca="true" t="shared" si="14" ref="S52:T54">X52</f>
        <v>0.3191426451149092</v>
      </c>
      <c r="T52" s="276">
        <f t="shared" si="14"/>
        <v>0.24833920048810446</v>
      </c>
      <c r="U52" s="314">
        <f>(S52-T52)*100</f>
        <v>7.080344462680474</v>
      </c>
      <c r="V52" s="11"/>
      <c r="W52" s="233"/>
      <c r="X52" s="34">
        <f>(X18+X19+X20+X21+X22+X23+X24)/X48</f>
        <v>0.3191426451149092</v>
      </c>
      <c r="Y52" s="34">
        <v>0.24833920048810446</v>
      </c>
      <c r="Z52" s="34">
        <v>0.22599999999999998</v>
      </c>
      <c r="AA52" s="372">
        <v>0.20299999999999996</v>
      </c>
      <c r="AB52" s="372">
        <v>0.18</v>
      </c>
      <c r="AC52" s="372">
        <v>0.14600000000000002</v>
      </c>
      <c r="AD52" s="233"/>
      <c r="AF52" s="3"/>
      <c r="AI52" s="3"/>
    </row>
    <row r="53" spans="1:35" ht="12.75" customHeight="1">
      <c r="A53" s="92"/>
      <c r="B53" s="230" t="s">
        <v>156</v>
      </c>
      <c r="C53" s="314">
        <f>(F53-J53)*100</f>
        <v>-2.4901463407392854</v>
      </c>
      <c r="D53" s="11"/>
      <c r="E53" s="11"/>
      <c r="F53" s="11">
        <f>F49/F48</f>
        <v>0.7775332170178499</v>
      </c>
      <c r="G53" s="11">
        <v>1.0345043540498629</v>
      </c>
      <c r="H53" s="11">
        <v>0.8190630416932762</v>
      </c>
      <c r="I53" s="11">
        <v>0.7723540697975905</v>
      </c>
      <c r="J53" s="34">
        <v>0.8024346804252428</v>
      </c>
      <c r="K53" s="34">
        <v>0.787</v>
      </c>
      <c r="L53" s="34">
        <v>0.767</v>
      </c>
      <c r="M53" s="34">
        <v>0.751</v>
      </c>
      <c r="N53" s="34">
        <v>0.729</v>
      </c>
      <c r="O53" s="34">
        <v>0.729</v>
      </c>
      <c r="P53" s="34">
        <v>0.743</v>
      </c>
      <c r="Q53" s="34">
        <v>0.764</v>
      </c>
      <c r="R53" s="233"/>
      <c r="S53" s="276">
        <f t="shared" si="14"/>
        <v>0.8363094547900095</v>
      </c>
      <c r="T53" s="276">
        <f t="shared" si="14"/>
        <v>0.7747935791784913</v>
      </c>
      <c r="U53" s="314">
        <f>(S53-T53)*100</f>
        <v>6.151587561151817</v>
      </c>
      <c r="V53" s="11"/>
      <c r="W53" s="233"/>
      <c r="X53" s="34">
        <f>X49/X48</f>
        <v>0.8363094547900095</v>
      </c>
      <c r="Y53" s="34">
        <v>0.7747935791784913</v>
      </c>
      <c r="Z53" s="34">
        <v>0.741</v>
      </c>
      <c r="AA53" s="372">
        <v>0.728</v>
      </c>
      <c r="AB53" s="372">
        <v>0.716</v>
      </c>
      <c r="AC53" s="372">
        <v>0.674</v>
      </c>
      <c r="AD53" s="233"/>
      <c r="AF53" s="3"/>
      <c r="AI53" s="3"/>
    </row>
    <row r="54" spans="1:32" ht="12.75" customHeight="1">
      <c r="A54" s="92"/>
      <c r="B54" s="230" t="s">
        <v>157</v>
      </c>
      <c r="C54" s="314">
        <f>(F54-J54)*100</f>
        <v>2.490146340739288</v>
      </c>
      <c r="D54" s="11"/>
      <c r="E54" s="11"/>
      <c r="F54" s="11">
        <f>F50/F48</f>
        <v>0.22246678298215006</v>
      </c>
      <c r="G54" s="11">
        <v>-0.034504354049862816</v>
      </c>
      <c r="H54" s="11">
        <v>0.18093695830672385</v>
      </c>
      <c r="I54" s="11">
        <v>0.22764593020240956</v>
      </c>
      <c r="J54" s="34">
        <v>0.19756531957475718</v>
      </c>
      <c r="K54" s="34">
        <v>0.21299999999999997</v>
      </c>
      <c r="L54" s="34">
        <v>0.23299999999999998</v>
      </c>
      <c r="M54" s="34">
        <v>0.249</v>
      </c>
      <c r="N54" s="34">
        <v>0.271</v>
      </c>
      <c r="O54" s="34">
        <v>0.271</v>
      </c>
      <c r="P54" s="34">
        <v>0.257</v>
      </c>
      <c r="Q54" s="34">
        <v>0.236</v>
      </c>
      <c r="R54" s="233"/>
      <c r="S54" s="276">
        <f t="shared" si="14"/>
        <v>0.1636905452099905</v>
      </c>
      <c r="T54" s="276">
        <f t="shared" si="14"/>
        <v>0.2252064208215087</v>
      </c>
      <c r="U54" s="314">
        <f>(S54-T54)*100</f>
        <v>-6.151587561151822</v>
      </c>
      <c r="V54" s="11"/>
      <c r="W54" s="233"/>
      <c r="X54" s="34">
        <f>X50/X48</f>
        <v>0.1636905452099905</v>
      </c>
      <c r="Y54" s="34">
        <v>0.2252064208215087</v>
      </c>
      <c r="Z54" s="34">
        <v>0.259</v>
      </c>
      <c r="AA54" s="372">
        <v>0.272</v>
      </c>
      <c r="AB54" s="372">
        <v>0.28400000000000003</v>
      </c>
      <c r="AC54" s="372">
        <v>0.32599999999999996</v>
      </c>
      <c r="AD54" s="233"/>
      <c r="AF54" s="3"/>
    </row>
    <row r="55" spans="1:32" ht="12.75" customHeight="1">
      <c r="A55" s="279"/>
      <c r="B55" s="7"/>
      <c r="C55" s="233"/>
      <c r="D55" s="233"/>
      <c r="E55" s="233"/>
      <c r="F55" s="233"/>
      <c r="G55" s="233"/>
      <c r="H55" s="233"/>
      <c r="I55" s="233"/>
      <c r="J55" s="233"/>
      <c r="K55" s="233"/>
      <c r="L55" s="233"/>
      <c r="M55" s="7"/>
      <c r="N55" s="233"/>
      <c r="O55" s="7"/>
      <c r="P55" s="7"/>
      <c r="Q55" s="233"/>
      <c r="R55" s="233"/>
      <c r="S55" s="233"/>
      <c r="T55" s="233"/>
      <c r="U55" s="233"/>
      <c r="V55" s="233"/>
      <c r="W55" s="233"/>
      <c r="X55" s="233"/>
      <c r="Y55" s="233"/>
      <c r="Z55" s="233"/>
      <c r="AA55" s="92"/>
      <c r="AB55" s="92"/>
      <c r="AC55" s="92"/>
      <c r="AD55" s="233"/>
      <c r="AF55" s="3"/>
    </row>
    <row r="56" spans="1:32" ht="12.75" customHeight="1">
      <c r="A56" s="1" t="s">
        <v>41</v>
      </c>
      <c r="B56" s="13"/>
      <c r="C56" s="13"/>
      <c r="D56" s="13"/>
      <c r="E56" s="13"/>
      <c r="F56" s="13"/>
      <c r="G56" s="13"/>
      <c r="H56" s="13"/>
      <c r="I56" s="15"/>
      <c r="J56" s="15"/>
      <c r="K56" s="15"/>
      <c r="L56" s="15"/>
      <c r="M56" s="15"/>
      <c r="N56" s="15"/>
      <c r="O56" s="15"/>
      <c r="P56" s="15"/>
      <c r="Q56" s="15"/>
      <c r="R56" s="3"/>
      <c r="S56" s="3"/>
      <c r="T56" s="3"/>
      <c r="Y56" s="2"/>
      <c r="Z56" s="2"/>
      <c r="AC56" s="3"/>
      <c r="AD56" s="3"/>
      <c r="AF56" s="3"/>
    </row>
    <row r="57" spans="1:32" ht="12.75">
      <c r="A57" s="3"/>
      <c r="B57" s="3"/>
      <c r="C57" s="3"/>
      <c r="D57" s="3"/>
      <c r="I57" s="2"/>
      <c r="J57" s="2"/>
      <c r="K57" s="2"/>
      <c r="L57" s="2"/>
      <c r="M57" s="2"/>
      <c r="N57" s="2"/>
      <c r="O57" s="2"/>
      <c r="P57" s="2"/>
      <c r="Q57" s="2"/>
      <c r="R57" s="3"/>
      <c r="S57" s="3"/>
      <c r="T57" s="3"/>
      <c r="Y57" s="30"/>
      <c r="Z57" s="30"/>
      <c r="AA57" s="92"/>
      <c r="AB57" s="92"/>
      <c r="AC57" s="3"/>
      <c r="AD57" s="3"/>
      <c r="AF57" s="3"/>
    </row>
    <row r="58" spans="9:32" ht="12.75">
      <c r="I58" s="30"/>
      <c r="Q58" s="30"/>
      <c r="R58" s="3"/>
      <c r="S58" s="3"/>
      <c r="T58" s="3"/>
      <c r="Y58" s="30"/>
      <c r="Z58" s="30"/>
      <c r="AA58" s="117"/>
      <c r="AB58" s="117"/>
      <c r="AC58" s="3"/>
      <c r="AD58" s="3"/>
      <c r="AF58" s="3"/>
    </row>
    <row r="59" spans="9:32" ht="12.75">
      <c r="I59" s="30"/>
      <c r="Q59" s="30"/>
      <c r="R59" s="3"/>
      <c r="S59" s="3"/>
      <c r="T59" s="3"/>
      <c r="Y59" s="30"/>
      <c r="Z59" s="30"/>
      <c r="AA59" s="117"/>
      <c r="AB59" s="117"/>
      <c r="AC59" s="3"/>
      <c r="AD59" s="3"/>
      <c r="AF59" s="3"/>
    </row>
    <row r="60" spans="9:28" ht="12.75">
      <c r="I60" s="30"/>
      <c r="Q60" s="30"/>
      <c r="R60" s="3"/>
      <c r="S60" s="3"/>
      <c r="T60" s="3"/>
      <c r="Y60" s="30"/>
      <c r="Z60" s="30"/>
      <c r="AB60" s="117"/>
    </row>
    <row r="61" spans="9:28" ht="12.75">
      <c r="I61" s="30"/>
      <c r="Q61" s="30"/>
      <c r="R61" s="3"/>
      <c r="S61" s="3"/>
      <c r="T61" s="3"/>
      <c r="Y61" s="2"/>
      <c r="Z61" s="2"/>
      <c r="AB61" s="117"/>
    </row>
    <row r="62" spans="9:28" ht="12.75">
      <c r="I62" s="2"/>
      <c r="Q62" s="235"/>
      <c r="R62" s="3"/>
      <c r="S62" s="3"/>
      <c r="T62" s="3"/>
      <c r="Y62" s="2"/>
      <c r="Z62" s="2"/>
      <c r="AB62" s="117"/>
    </row>
    <row r="63" spans="9:26" ht="12.75">
      <c r="I63" s="2"/>
      <c r="Q63" s="236"/>
      <c r="R63" s="3"/>
      <c r="S63" s="3"/>
      <c r="T63" s="3"/>
      <c r="Y63" s="2"/>
      <c r="Z63" s="2"/>
    </row>
    <row r="64" spans="9:26" ht="12.75">
      <c r="I64" s="2"/>
      <c r="Q64" s="236"/>
      <c r="R64" s="3"/>
      <c r="S64" s="3"/>
      <c r="T64" s="3"/>
      <c r="Y64" s="31"/>
      <c r="Z64" s="31"/>
    </row>
    <row r="65" spans="9:26" ht="12.75">
      <c r="I65" s="31"/>
      <c r="Q65" s="11"/>
      <c r="R65" s="3"/>
      <c r="S65" s="3"/>
      <c r="T65" s="3"/>
      <c r="Y65" s="31"/>
      <c r="Z65" s="31"/>
    </row>
    <row r="66" spans="9:26" ht="12.75">
      <c r="I66" s="31"/>
      <c r="Q66" s="11"/>
      <c r="R66" s="3"/>
      <c r="S66" s="3"/>
      <c r="T66" s="3"/>
      <c r="Y66" s="31"/>
      <c r="Z66" s="31"/>
    </row>
    <row r="67" spans="9:26" ht="12.75">
      <c r="I67" s="32"/>
      <c r="Q67" s="32"/>
      <c r="R67" s="3"/>
      <c r="S67" s="3"/>
      <c r="T67" s="3"/>
      <c r="Y67" s="2"/>
      <c r="Z67" s="2"/>
    </row>
    <row r="68" spans="9:26" ht="12.75">
      <c r="I68" s="2"/>
      <c r="Q68" s="237"/>
      <c r="R68" s="3"/>
      <c r="S68" s="3"/>
      <c r="T68" s="3"/>
      <c r="Y68" s="2"/>
      <c r="Z68" s="2"/>
    </row>
    <row r="69" spans="9:26" ht="12.75">
      <c r="I69" s="2"/>
      <c r="J69" s="2"/>
      <c r="M69" s="2"/>
      <c r="O69" s="2"/>
      <c r="P69" s="2"/>
      <c r="Q69" s="2"/>
      <c r="R69" s="3"/>
      <c r="S69" s="3"/>
      <c r="T69" s="3"/>
      <c r="Y69" s="50"/>
      <c r="Z69" s="50"/>
    </row>
    <row r="70" spans="9:26" ht="12.75">
      <c r="I70" s="31"/>
      <c r="J70" s="43"/>
      <c r="K70" s="31"/>
      <c r="L70" s="31"/>
      <c r="M70" s="31"/>
      <c r="N70" s="36"/>
      <c r="O70" s="36"/>
      <c r="P70" s="33"/>
      <c r="Q70" s="1"/>
      <c r="R70" s="3"/>
      <c r="S70" s="3"/>
      <c r="T70" s="3"/>
      <c r="Y70" s="50"/>
      <c r="Z70" s="50"/>
    </row>
    <row r="71" spans="9:26" ht="12.75">
      <c r="I71" s="31"/>
      <c r="J71" s="31"/>
      <c r="K71" s="31"/>
      <c r="L71" s="31"/>
      <c r="M71" s="31"/>
      <c r="N71" s="39"/>
      <c r="O71" s="31"/>
      <c r="P71" s="31"/>
      <c r="Q71" s="31"/>
      <c r="R71" s="3"/>
      <c r="S71" s="3"/>
      <c r="T71" s="3"/>
      <c r="Y71" s="51"/>
      <c r="Z71" s="51"/>
    </row>
    <row r="72" spans="9:26" ht="12.75">
      <c r="I72" s="11"/>
      <c r="J72" s="41"/>
      <c r="K72" s="34"/>
      <c r="L72" s="34"/>
      <c r="M72" s="34"/>
      <c r="N72" s="41"/>
      <c r="O72" s="34"/>
      <c r="P72" s="34"/>
      <c r="Q72" s="46"/>
      <c r="R72" s="3"/>
      <c r="S72" s="3"/>
      <c r="T72" s="3"/>
      <c r="Y72" s="52"/>
      <c r="Z72" s="52"/>
    </row>
    <row r="73" spans="9:26" ht="12.75">
      <c r="I73" s="11"/>
      <c r="J73" s="34"/>
      <c r="K73" s="34"/>
      <c r="L73" s="34"/>
      <c r="M73" s="34"/>
      <c r="N73" s="34"/>
      <c r="O73" s="34"/>
      <c r="P73" s="34"/>
      <c r="Q73" s="46"/>
      <c r="R73" s="3"/>
      <c r="S73" s="3"/>
      <c r="T73" s="3"/>
      <c r="Y73" s="34"/>
      <c r="Z73" s="34"/>
    </row>
    <row r="74" spans="9:26" ht="12.75">
      <c r="I74" s="11"/>
      <c r="J74" s="34"/>
      <c r="K74" s="34"/>
      <c r="L74" s="34"/>
      <c r="M74" s="34"/>
      <c r="N74" s="34"/>
      <c r="O74" s="34"/>
      <c r="P74" s="34"/>
      <c r="Q74" s="40"/>
      <c r="R74" s="3"/>
      <c r="S74" s="3"/>
      <c r="T74" s="3"/>
      <c r="Y74" s="34"/>
      <c r="Z74" s="34"/>
    </row>
    <row r="75" spans="9:26" ht="12.75">
      <c r="I75" s="34"/>
      <c r="J75" s="34"/>
      <c r="K75" s="34"/>
      <c r="L75" s="34"/>
      <c r="M75" s="34"/>
      <c r="N75" s="34"/>
      <c r="O75" s="34"/>
      <c r="P75" s="34"/>
      <c r="Q75" s="34"/>
      <c r="R75" s="3"/>
      <c r="S75" s="3"/>
      <c r="T75" s="3"/>
      <c r="Y75" s="35"/>
      <c r="Z75" s="35"/>
    </row>
    <row r="76" spans="9:26" ht="12.75">
      <c r="I76" s="35"/>
      <c r="J76" s="35"/>
      <c r="K76" s="35"/>
      <c r="L76" s="35"/>
      <c r="M76" s="35"/>
      <c r="N76" s="35"/>
      <c r="O76" s="35"/>
      <c r="P76" s="35"/>
      <c r="Q76" s="35"/>
      <c r="R76" s="3"/>
      <c r="S76" s="3"/>
      <c r="T76" s="3"/>
      <c r="Y76" s="35"/>
      <c r="Z76" s="35"/>
    </row>
    <row r="77" spans="9:26" ht="12.75">
      <c r="I77" s="35"/>
      <c r="J77" s="35"/>
      <c r="K77" s="35"/>
      <c r="L77" s="35"/>
      <c r="M77" s="35"/>
      <c r="N77" s="35"/>
      <c r="O77" s="35"/>
      <c r="P77" s="35"/>
      <c r="Q77" s="35"/>
      <c r="R77" s="3"/>
      <c r="S77" s="3"/>
      <c r="T77" s="3"/>
      <c r="Y77" s="3"/>
      <c r="Z77" s="3"/>
    </row>
    <row r="78" spans="9:26" ht="12.75">
      <c r="I78" s="3"/>
      <c r="J78" s="3"/>
      <c r="K78" s="3"/>
      <c r="L78" s="3"/>
      <c r="M78" s="3"/>
      <c r="N78" s="3"/>
      <c r="O78" s="3"/>
      <c r="P78" s="3"/>
      <c r="Q78" s="3"/>
      <c r="R78" s="3"/>
      <c r="S78" s="3"/>
      <c r="T78" s="3"/>
      <c r="Y78" s="3"/>
      <c r="Z78" s="3"/>
    </row>
    <row r="79" spans="9:26" ht="12.75">
      <c r="I79" s="3"/>
      <c r="J79" s="3"/>
      <c r="K79" s="3"/>
      <c r="L79" s="3"/>
      <c r="M79" s="3"/>
      <c r="N79" s="3"/>
      <c r="O79" s="3"/>
      <c r="P79" s="3"/>
      <c r="Q79" s="3"/>
      <c r="R79" s="3"/>
      <c r="S79" s="3"/>
      <c r="T79" s="3"/>
      <c r="Y79" s="3"/>
      <c r="Z79" s="3"/>
    </row>
    <row r="80" spans="9:26" ht="12.75">
      <c r="I80" s="3"/>
      <c r="J80" s="3"/>
      <c r="K80" s="3"/>
      <c r="L80" s="3"/>
      <c r="M80" s="3"/>
      <c r="N80" s="3"/>
      <c r="O80" s="3"/>
      <c r="P80" s="3"/>
      <c r="Q80" s="3"/>
      <c r="R80" s="3"/>
      <c r="S80" s="3"/>
      <c r="T80" s="3"/>
      <c r="Y80" s="3"/>
      <c r="Z80" s="3"/>
    </row>
    <row r="81" spans="9:26" ht="12.75">
      <c r="I81" s="3"/>
      <c r="J81" s="3"/>
      <c r="K81" s="3"/>
      <c r="L81" s="3"/>
      <c r="M81" s="3"/>
      <c r="N81" s="3"/>
      <c r="O81" s="3"/>
      <c r="P81" s="3"/>
      <c r="Q81" s="3"/>
      <c r="R81" s="3"/>
      <c r="S81" s="3"/>
      <c r="T81" s="3"/>
      <c r="Y81" s="3"/>
      <c r="Z81" s="3"/>
    </row>
    <row r="82" spans="9:20" ht="12.75">
      <c r="I82" s="3"/>
      <c r="J82" s="3"/>
      <c r="K82" s="3"/>
      <c r="L82" s="3"/>
      <c r="M82" s="3"/>
      <c r="N82" s="3"/>
      <c r="O82" s="3"/>
      <c r="P82" s="3"/>
      <c r="Q82" s="3"/>
      <c r="R82" s="3"/>
      <c r="S82" s="3"/>
      <c r="T82" s="3"/>
    </row>
  </sheetData>
  <mergeCells count="9">
    <mergeCell ref="C47:D47"/>
    <mergeCell ref="U10:V10"/>
    <mergeCell ref="U47:V47"/>
    <mergeCell ref="S8:V8"/>
    <mergeCell ref="S9:V9"/>
    <mergeCell ref="S46:V46"/>
    <mergeCell ref="C9:D9"/>
    <mergeCell ref="C10:D10"/>
    <mergeCell ref="C46:D46"/>
  </mergeCells>
  <conditionalFormatting sqref="A39 A55 A44:A45 X52:Z54 J52:Q54 X30:Z35 S30:T35 B29:B39 A29 A31:A36 F30:Q35">
    <cfRule type="cellIs" priority="1" dxfId="0" operator="equal" stopIfTrue="1">
      <formula>0</formula>
    </cfRule>
  </conditionalFormatting>
  <printOptions/>
  <pageMargins left="0.28" right="0.23" top="0.41" bottom="0.6" header="0.38" footer="0.36"/>
  <pageSetup horizontalDpi="600" verticalDpi="600" orientation="landscape" scale="55" r:id="rId2"/>
  <headerFooter alignWithMargins="0">
    <oddFooter>&amp;LCCI Supplementary Fiscal Q4/09 - May 20, 2009&amp;CPage 4</oddFooter>
  </headerFooter>
  <drawing r:id="rId1"/>
</worksheet>
</file>

<file path=xl/worksheets/sheet7.xml><?xml version="1.0" encoding="utf-8"?>
<worksheet xmlns="http://schemas.openxmlformats.org/spreadsheetml/2006/main" xmlns:r="http://schemas.openxmlformats.org/officeDocument/2006/relationships">
  <dimension ref="A5:AK64"/>
  <sheetViews>
    <sheetView zoomScale="75" zoomScaleNormal="75" workbookViewId="0" topLeftCell="A1">
      <pane ySplit="10" topLeftCell="BM11" activePane="bottomLeft" state="frozen"/>
      <selection pane="topLeft" activeCell="B36" sqref="B36:L37"/>
      <selection pane="bottomLeft" activeCell="B36" sqref="B36:L37"/>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7109375" style="3" customWidth="1"/>
    <col min="9" max="14" width="9.7109375" style="0" customWidth="1"/>
    <col min="15" max="17" width="9.7109375" style="0" hidden="1" customWidth="1"/>
    <col min="18" max="18" width="1.57421875" style="0" customWidth="1"/>
    <col min="19" max="20" width="9.7109375" style="0" hidden="1" customWidth="1"/>
    <col min="21" max="22" width="9.7109375" style="0" customWidth="1"/>
    <col min="23" max="23" width="1.57421875" style="0" customWidth="1"/>
    <col min="24" max="28" width="9.7109375" style="0" customWidth="1"/>
    <col min="29" max="29" width="9.7109375" style="0" hidden="1" customWidth="1"/>
    <col min="30" max="30" width="1.57421875" style="0" customWidth="1"/>
  </cols>
  <sheetData>
    <row r="1" ht="12.75"/>
    <row r="2" ht="12.75"/>
    <row r="3" ht="12.75"/>
    <row r="4" ht="12.75"/>
    <row r="5" spans="1:11" ht="12.75">
      <c r="A5" s="3"/>
      <c r="B5" s="3"/>
      <c r="C5" s="3"/>
      <c r="D5" s="3"/>
      <c r="I5" s="3"/>
      <c r="J5" s="3"/>
      <c r="K5" s="3"/>
    </row>
    <row r="6" spans="1:11" ht="18" customHeight="1">
      <c r="A6" s="146" t="s">
        <v>185</v>
      </c>
      <c r="B6" s="3"/>
      <c r="C6" s="3"/>
      <c r="D6" s="3"/>
      <c r="I6" s="3"/>
      <c r="J6" s="3"/>
      <c r="K6" s="3"/>
    </row>
    <row r="7" spans="1:11" ht="18" customHeight="1">
      <c r="A7" s="146" t="s">
        <v>239</v>
      </c>
      <c r="B7" s="3"/>
      <c r="C7" s="3"/>
      <c r="D7" s="3"/>
      <c r="I7" s="3"/>
      <c r="J7" s="3"/>
      <c r="K7" s="3"/>
    </row>
    <row r="8" spans="1:29" ht="9.75" customHeight="1">
      <c r="A8" s="2"/>
      <c r="B8" s="2"/>
      <c r="C8" s="2"/>
      <c r="D8" s="2"/>
      <c r="E8" s="2"/>
      <c r="F8" s="563"/>
      <c r="G8" s="2"/>
      <c r="H8" s="2"/>
      <c r="I8" s="3"/>
      <c r="J8" s="3"/>
      <c r="K8" s="3"/>
      <c r="S8" s="639"/>
      <c r="T8" s="639"/>
      <c r="U8" s="639"/>
      <c r="V8" s="639"/>
      <c r="AA8" s="3"/>
      <c r="AB8" s="3"/>
      <c r="AC8" s="3"/>
    </row>
    <row r="9" spans="1:29" ht="12.75">
      <c r="A9" s="6" t="s">
        <v>1</v>
      </c>
      <c r="B9" s="7"/>
      <c r="C9" s="611" t="s">
        <v>286</v>
      </c>
      <c r="D9" s="629"/>
      <c r="E9" s="15"/>
      <c r="F9" s="17"/>
      <c r="G9" s="18"/>
      <c r="H9" s="18"/>
      <c r="I9" s="19"/>
      <c r="J9" s="18"/>
      <c r="K9" s="18"/>
      <c r="L9" s="18"/>
      <c r="M9" s="18"/>
      <c r="N9" s="22"/>
      <c r="O9" s="19"/>
      <c r="P9" s="19"/>
      <c r="Q9" s="18"/>
      <c r="R9" s="24"/>
      <c r="S9" s="642" t="s">
        <v>285</v>
      </c>
      <c r="T9" s="602"/>
      <c r="U9" s="602"/>
      <c r="V9" s="603"/>
      <c r="W9" s="15"/>
      <c r="X9" s="98"/>
      <c r="Y9" s="17"/>
      <c r="Z9" s="22"/>
      <c r="AA9" s="98"/>
      <c r="AB9" s="98"/>
      <c r="AC9" s="98"/>
    </row>
    <row r="10" spans="1:37" ht="13.5">
      <c r="A10" s="6" t="s">
        <v>2</v>
      </c>
      <c r="B10" s="7"/>
      <c r="C10" s="630" t="s">
        <v>51</v>
      </c>
      <c r="D10" s="631"/>
      <c r="E10" s="16"/>
      <c r="F10" s="20" t="s">
        <v>166</v>
      </c>
      <c r="G10" s="21" t="s">
        <v>167</v>
      </c>
      <c r="H10" s="21" t="s">
        <v>168</v>
      </c>
      <c r="I10" s="14" t="s">
        <v>42</v>
      </c>
      <c r="J10" s="21" t="s">
        <v>43</v>
      </c>
      <c r="K10" s="21" t="s">
        <v>44</v>
      </c>
      <c r="L10" s="21" t="s">
        <v>45</v>
      </c>
      <c r="M10" s="21" t="s">
        <v>46</v>
      </c>
      <c r="N10" s="23" t="s">
        <v>47</v>
      </c>
      <c r="O10" s="14" t="s">
        <v>48</v>
      </c>
      <c r="P10" s="14" t="s">
        <v>49</v>
      </c>
      <c r="Q10" s="21" t="s">
        <v>50</v>
      </c>
      <c r="R10" s="345"/>
      <c r="S10" s="15" t="s">
        <v>55</v>
      </c>
      <c r="T10" s="15" t="s">
        <v>52</v>
      </c>
      <c r="U10" s="607" t="s">
        <v>51</v>
      </c>
      <c r="V10" s="608"/>
      <c r="W10" s="16"/>
      <c r="X10" s="20" t="s">
        <v>55</v>
      </c>
      <c r="Y10" s="20" t="s">
        <v>52</v>
      </c>
      <c r="Z10" s="23" t="s">
        <v>53</v>
      </c>
      <c r="AA10" s="23" t="s">
        <v>242</v>
      </c>
      <c r="AB10" s="23" t="s">
        <v>243</v>
      </c>
      <c r="AC10" s="23" t="s">
        <v>249</v>
      </c>
      <c r="AD10" s="3"/>
      <c r="AE10" s="3"/>
      <c r="AF10" s="3"/>
      <c r="AI10" s="3"/>
      <c r="AJ10" s="3"/>
      <c r="AK10" s="3"/>
    </row>
    <row r="11" spans="1:35" ht="12.75" customHeight="1">
      <c r="A11" s="227" t="s">
        <v>136</v>
      </c>
      <c r="B11" s="8"/>
      <c r="C11" s="249"/>
      <c r="D11" s="250"/>
      <c r="E11" s="233"/>
      <c r="F11" s="249"/>
      <c r="G11" s="281"/>
      <c r="H11" s="233"/>
      <c r="I11" s="251"/>
      <c r="J11" s="281"/>
      <c r="K11" s="233"/>
      <c r="L11" s="233"/>
      <c r="N11" s="22"/>
      <c r="O11" s="26"/>
      <c r="P11" s="26"/>
      <c r="Q11" s="18"/>
      <c r="R11" s="99"/>
      <c r="S11" s="281"/>
      <c r="T11" s="281"/>
      <c r="U11" s="281"/>
      <c r="V11" s="250"/>
      <c r="W11" s="92"/>
      <c r="X11" s="99"/>
      <c r="Y11" s="249"/>
      <c r="Z11" s="99"/>
      <c r="AA11" s="385"/>
      <c r="AB11" s="385"/>
      <c r="AC11" s="385"/>
      <c r="AD11" s="3"/>
      <c r="AE11" s="3"/>
      <c r="AF11" s="3"/>
      <c r="AI11" s="3"/>
    </row>
    <row r="12" spans="1:35" ht="12.75" customHeight="1">
      <c r="A12" s="7"/>
      <c r="B12" s="313" t="s">
        <v>169</v>
      </c>
      <c r="C12" s="37">
        <f>F12-J12</f>
        <v>-6249</v>
      </c>
      <c r="D12" s="29">
        <f>C12/J12</f>
        <v>-0.5671628244690506</v>
      </c>
      <c r="E12" s="40"/>
      <c r="F12" s="575">
        <v>4769</v>
      </c>
      <c r="G12" s="544">
        <f>4353+G13</f>
        <v>4406</v>
      </c>
      <c r="H12" s="544">
        <f>8624+H13</f>
        <v>8649</v>
      </c>
      <c r="I12" s="302">
        <f>10042+I13</f>
        <v>10062</v>
      </c>
      <c r="J12" s="299">
        <f>10991+J13</f>
        <v>11018</v>
      </c>
      <c r="K12" s="422">
        <f>12577+K13</f>
        <v>12605</v>
      </c>
      <c r="L12" s="422">
        <f>12300+L13</f>
        <v>12383</v>
      </c>
      <c r="M12" s="253">
        <f>14716+M13</f>
        <v>14764</v>
      </c>
      <c r="N12" s="263">
        <f>10335+N13</f>
        <v>10416</v>
      </c>
      <c r="O12" s="253">
        <v>8017</v>
      </c>
      <c r="P12" s="253">
        <v>6975</v>
      </c>
      <c r="Q12" s="299">
        <v>8665</v>
      </c>
      <c r="R12" s="99"/>
      <c r="S12" s="400">
        <f>X12</f>
        <v>27886</v>
      </c>
      <c r="T12" s="400">
        <f>Y12</f>
        <v>50770</v>
      </c>
      <c r="U12" s="30">
        <f>S12-T12</f>
        <v>-22884</v>
      </c>
      <c r="V12" s="29">
        <f>U12/T12</f>
        <v>-0.45073862517234586</v>
      </c>
      <c r="W12" s="92"/>
      <c r="X12" s="287">
        <f>F12+G12+H12+I12</f>
        <v>27886</v>
      </c>
      <c r="Y12" s="287">
        <f>50584+Y13</f>
        <v>50770</v>
      </c>
      <c r="Z12" s="287">
        <f>33992+Z13</f>
        <v>34578</v>
      </c>
      <c r="AA12" s="93">
        <f>24480+AA13</f>
        <v>24555</v>
      </c>
      <c r="AB12" s="94">
        <v>14948</v>
      </c>
      <c r="AC12" s="94">
        <v>14416</v>
      </c>
      <c r="AD12" s="3"/>
      <c r="AE12" s="3"/>
      <c r="AF12" s="3"/>
      <c r="AI12" s="3"/>
    </row>
    <row r="13" spans="1:35" ht="12.75" customHeight="1" hidden="1">
      <c r="A13" s="7"/>
      <c r="B13" s="313" t="s">
        <v>268</v>
      </c>
      <c r="C13" s="37">
        <f>F13-J13</f>
        <v>-17</v>
      </c>
      <c r="D13" s="29">
        <f>C13/J13</f>
        <v>-0.6296296296296297</v>
      </c>
      <c r="E13" s="40"/>
      <c r="F13" s="575">
        <v>10</v>
      </c>
      <c r="G13" s="529">
        <v>53</v>
      </c>
      <c r="H13" s="529">
        <v>25</v>
      </c>
      <c r="I13" s="302">
        <v>20</v>
      </c>
      <c r="J13" s="298">
        <v>27</v>
      </c>
      <c r="K13" s="298">
        <v>28</v>
      </c>
      <c r="L13" s="298">
        <v>83</v>
      </c>
      <c r="M13" s="299">
        <v>48</v>
      </c>
      <c r="N13" s="263">
        <v>81</v>
      </c>
      <c r="O13" s="253">
        <v>38</v>
      </c>
      <c r="P13" s="253">
        <v>397</v>
      </c>
      <c r="Q13" s="299">
        <v>70</v>
      </c>
      <c r="R13" s="99"/>
      <c r="S13" s="400">
        <f>X13</f>
        <v>108</v>
      </c>
      <c r="T13" s="400">
        <f>Y13</f>
        <v>186</v>
      </c>
      <c r="U13" s="30">
        <f aca="true" t="shared" si="0" ref="U13:U32">S13-T13</f>
        <v>-78</v>
      </c>
      <c r="V13" s="29">
        <f aca="true" t="shared" si="1" ref="V13:V32">U13/T13</f>
        <v>-0.41935483870967744</v>
      </c>
      <c r="W13" s="92"/>
      <c r="X13" s="287">
        <f>F13+G13+H13+I13</f>
        <v>108</v>
      </c>
      <c r="Y13" s="287">
        <v>186</v>
      </c>
      <c r="Z13" s="287">
        <v>586</v>
      </c>
      <c r="AA13" s="93">
        <v>75</v>
      </c>
      <c r="AB13" s="241">
        <v>0</v>
      </c>
      <c r="AC13" s="241">
        <v>0</v>
      </c>
      <c r="AD13" s="3"/>
      <c r="AE13" s="3"/>
      <c r="AF13" s="3"/>
      <c r="AI13" s="3"/>
    </row>
    <row r="14" spans="1:35" ht="12.75" customHeight="1">
      <c r="A14" s="8"/>
      <c r="B14" s="7"/>
      <c r="C14" s="254">
        <f>F14-J14</f>
        <v>-6249</v>
      </c>
      <c r="D14" s="255">
        <f>C14/J14</f>
        <v>-0.5671628244690506</v>
      </c>
      <c r="E14" s="40"/>
      <c r="F14" s="264">
        <f>F12</f>
        <v>4769</v>
      </c>
      <c r="G14" s="304">
        <f aca="true" t="shared" si="2" ref="G14:N14">G12</f>
        <v>4406</v>
      </c>
      <c r="H14" s="304">
        <f t="shared" si="2"/>
        <v>8649</v>
      </c>
      <c r="I14" s="306">
        <f t="shared" si="2"/>
        <v>10062</v>
      </c>
      <c r="J14" s="264">
        <f t="shared" si="2"/>
        <v>11018</v>
      </c>
      <c r="K14" s="304">
        <f t="shared" si="2"/>
        <v>12605</v>
      </c>
      <c r="L14" s="304">
        <f t="shared" si="2"/>
        <v>12383</v>
      </c>
      <c r="M14" s="306">
        <f t="shared" si="2"/>
        <v>14764</v>
      </c>
      <c r="N14" s="264">
        <f t="shared" si="2"/>
        <v>10416</v>
      </c>
      <c r="O14" s="307">
        <v>8055</v>
      </c>
      <c r="P14" s="307">
        <v>7372</v>
      </c>
      <c r="Q14" s="306">
        <v>8735</v>
      </c>
      <c r="R14" s="246"/>
      <c r="S14" s="306">
        <f>S12</f>
        <v>27886</v>
      </c>
      <c r="T14" s="264">
        <f>T12</f>
        <v>50770</v>
      </c>
      <c r="U14" s="413">
        <f t="shared" si="0"/>
        <v>-22884</v>
      </c>
      <c r="V14" s="255">
        <f t="shared" si="1"/>
        <v>-0.45073862517234586</v>
      </c>
      <c r="W14" s="92"/>
      <c r="X14" s="264">
        <f>X12</f>
        <v>27886</v>
      </c>
      <c r="Y14" s="264">
        <f>Y12</f>
        <v>50770</v>
      </c>
      <c r="Z14" s="264">
        <f>Z12</f>
        <v>34578</v>
      </c>
      <c r="AA14" s="264">
        <f>AA12</f>
        <v>24555</v>
      </c>
      <c r="AB14" s="256">
        <f>AB12</f>
        <v>14948</v>
      </c>
      <c r="AC14" s="386">
        <v>4749</v>
      </c>
      <c r="AD14" s="3"/>
      <c r="AE14" s="3"/>
      <c r="AF14" s="3"/>
      <c r="AI14" s="3"/>
    </row>
    <row r="15" spans="1:35" ht="12.75" customHeight="1">
      <c r="A15" s="227" t="s">
        <v>5</v>
      </c>
      <c r="B15" s="7"/>
      <c r="C15" s="37"/>
      <c r="D15" s="29"/>
      <c r="E15" s="40"/>
      <c r="F15" s="575"/>
      <c r="G15" s="529"/>
      <c r="H15" s="529"/>
      <c r="I15" s="302"/>
      <c r="J15" s="298"/>
      <c r="K15" s="298"/>
      <c r="L15" s="298"/>
      <c r="M15" s="298"/>
      <c r="N15" s="246"/>
      <c r="O15" s="302"/>
      <c r="P15" s="302"/>
      <c r="Q15" s="298"/>
      <c r="R15" s="99"/>
      <c r="S15" s="400"/>
      <c r="T15" s="400"/>
      <c r="U15" s="30"/>
      <c r="V15" s="29"/>
      <c r="W15" s="92"/>
      <c r="X15" s="365"/>
      <c r="Y15" s="287"/>
      <c r="Z15" s="287"/>
      <c r="AA15" s="94"/>
      <c r="AB15" s="94"/>
      <c r="AC15" s="94"/>
      <c r="AD15" s="3"/>
      <c r="AE15" s="3"/>
      <c r="AF15" s="3"/>
      <c r="AI15" s="3"/>
    </row>
    <row r="16" spans="1:35" ht="12.75" customHeight="1">
      <c r="A16" s="8"/>
      <c r="B16" s="92" t="s">
        <v>180</v>
      </c>
      <c r="C16" s="37">
        <f aca="true" t="shared" si="3" ref="C16:C30">F16-J16</f>
        <v>2753</v>
      </c>
      <c r="D16" s="29">
        <f aca="true" t="shared" si="4" ref="D16:D30">C16/J16</f>
        <v>-2.544362292051756</v>
      </c>
      <c r="E16" s="40"/>
      <c r="F16" s="575">
        <v>1671</v>
      </c>
      <c r="G16" s="529">
        <v>247</v>
      </c>
      <c r="H16" s="529">
        <v>863</v>
      </c>
      <c r="I16" s="302">
        <v>3248</v>
      </c>
      <c r="J16" s="298">
        <v>-1082</v>
      </c>
      <c r="K16" s="298">
        <v>4402</v>
      </c>
      <c r="L16" s="298">
        <v>3860</v>
      </c>
      <c r="M16" s="298">
        <v>7523</v>
      </c>
      <c r="N16" s="246">
        <v>6152</v>
      </c>
      <c r="O16" s="302">
        <v>6072</v>
      </c>
      <c r="P16" s="302">
        <v>4784</v>
      </c>
      <c r="Q16" s="298">
        <v>5639</v>
      </c>
      <c r="R16" s="99"/>
      <c r="S16" s="400">
        <f aca="true" t="shared" si="5" ref="S16:S30">X16</f>
        <v>6029</v>
      </c>
      <c r="T16" s="400">
        <f aca="true" t="shared" si="6" ref="T16:T30">Y16</f>
        <v>14703</v>
      </c>
      <c r="U16" s="30">
        <f t="shared" si="0"/>
        <v>-8674</v>
      </c>
      <c r="V16" s="29">
        <f t="shared" si="1"/>
        <v>-0.5899476297354281</v>
      </c>
      <c r="W16" s="92"/>
      <c r="X16" s="263">
        <f aca="true" t="shared" si="7" ref="X16:X28">F16+G16+H16+I16</f>
        <v>6029</v>
      </c>
      <c r="Y16" s="287">
        <v>14703</v>
      </c>
      <c r="Z16" s="287">
        <v>22647</v>
      </c>
      <c r="AA16" s="94">
        <v>18301</v>
      </c>
      <c r="AB16" s="94">
        <v>11028</v>
      </c>
      <c r="AC16" s="94">
        <v>15746</v>
      </c>
      <c r="AD16" s="3"/>
      <c r="AE16" s="3"/>
      <c r="AF16" s="3"/>
      <c r="AI16" s="3"/>
    </row>
    <row r="17" spans="1:35" ht="12.75" customHeight="1">
      <c r="A17" s="8"/>
      <c r="B17" s="92" t="s">
        <v>142</v>
      </c>
      <c r="C17" s="37">
        <f t="shared" si="3"/>
        <v>-431</v>
      </c>
      <c r="D17" s="29">
        <f t="shared" si="4"/>
        <v>-0.06405112200921385</v>
      </c>
      <c r="E17" s="40"/>
      <c r="F17" s="575">
        <v>6298</v>
      </c>
      <c r="G17" s="529">
        <v>6347</v>
      </c>
      <c r="H17" s="529">
        <v>6799</v>
      </c>
      <c r="I17" s="302">
        <v>7439</v>
      </c>
      <c r="J17" s="298">
        <v>6729</v>
      </c>
      <c r="K17" s="298">
        <v>6111</v>
      </c>
      <c r="L17" s="298">
        <v>5945</v>
      </c>
      <c r="M17" s="298">
        <v>6201</v>
      </c>
      <c r="N17" s="246">
        <v>5940</v>
      </c>
      <c r="O17" s="302">
        <v>5413</v>
      </c>
      <c r="P17" s="302">
        <v>5561</v>
      </c>
      <c r="Q17" s="298">
        <v>5875</v>
      </c>
      <c r="R17" s="99"/>
      <c r="S17" s="400">
        <f t="shared" si="5"/>
        <v>26883</v>
      </c>
      <c r="T17" s="400">
        <f t="shared" si="6"/>
        <v>24986</v>
      </c>
      <c r="U17" s="30">
        <f t="shared" si="0"/>
        <v>1897</v>
      </c>
      <c r="V17" s="29">
        <f t="shared" si="1"/>
        <v>0.0759225166093012</v>
      </c>
      <c r="W17" s="92"/>
      <c r="X17" s="263">
        <f t="shared" si="7"/>
        <v>26883</v>
      </c>
      <c r="Y17" s="287">
        <v>24986</v>
      </c>
      <c r="Z17" s="287">
        <v>22789</v>
      </c>
      <c r="AA17" s="94">
        <v>20531</v>
      </c>
      <c r="AB17" s="94">
        <v>17980</v>
      </c>
      <c r="AC17" s="94">
        <v>14519</v>
      </c>
      <c r="AD17" s="3"/>
      <c r="AE17" s="3"/>
      <c r="AF17" s="3"/>
      <c r="AI17" s="3"/>
    </row>
    <row r="18" spans="1:35" ht="12.75" customHeight="1">
      <c r="A18" s="8"/>
      <c r="B18" s="92" t="s">
        <v>254</v>
      </c>
      <c r="C18" s="37">
        <f t="shared" si="3"/>
        <v>142</v>
      </c>
      <c r="D18" s="29">
        <f t="shared" si="4"/>
        <v>1.3148148148148149</v>
      </c>
      <c r="E18" s="40"/>
      <c r="F18" s="575">
        <v>250</v>
      </c>
      <c r="G18" s="529">
        <v>265</v>
      </c>
      <c r="H18" s="529">
        <v>-7</v>
      </c>
      <c r="I18" s="302">
        <v>-68</v>
      </c>
      <c r="J18" s="298">
        <v>108</v>
      </c>
      <c r="K18" s="298">
        <v>68</v>
      </c>
      <c r="L18" s="298">
        <v>185</v>
      </c>
      <c r="M18" s="298">
        <v>118</v>
      </c>
      <c r="N18" s="246">
        <v>63</v>
      </c>
      <c r="O18" s="302">
        <v>18</v>
      </c>
      <c r="P18" s="302">
        <v>47</v>
      </c>
      <c r="Q18" s="298">
        <v>185</v>
      </c>
      <c r="R18" s="99"/>
      <c r="S18" s="400">
        <f t="shared" si="5"/>
        <v>440</v>
      </c>
      <c r="T18" s="400">
        <f t="shared" si="6"/>
        <v>479</v>
      </c>
      <c r="U18" s="30">
        <f t="shared" si="0"/>
        <v>-39</v>
      </c>
      <c r="V18" s="29">
        <f t="shared" si="1"/>
        <v>-0.081419624217119</v>
      </c>
      <c r="W18" s="92"/>
      <c r="X18" s="263">
        <f t="shared" si="7"/>
        <v>440</v>
      </c>
      <c r="Y18" s="287">
        <v>479</v>
      </c>
      <c r="Z18" s="287">
        <v>313</v>
      </c>
      <c r="AA18" s="94">
        <v>1507</v>
      </c>
      <c r="AB18" s="94">
        <v>1110</v>
      </c>
      <c r="AC18" s="94">
        <v>12562</v>
      </c>
      <c r="AD18" s="3"/>
      <c r="AE18" s="3"/>
      <c r="AF18" s="3"/>
      <c r="AI18" s="3"/>
    </row>
    <row r="19" spans="1:35" ht="12.75" customHeight="1">
      <c r="A19" s="8"/>
      <c r="B19" s="92" t="s">
        <v>144</v>
      </c>
      <c r="C19" s="37">
        <f t="shared" si="3"/>
        <v>203</v>
      </c>
      <c r="D19" s="29">
        <f t="shared" si="4"/>
        <v>0.15946582875098192</v>
      </c>
      <c r="E19" s="40"/>
      <c r="F19" s="575">
        <v>1476</v>
      </c>
      <c r="G19" s="529">
        <v>1595</v>
      </c>
      <c r="H19" s="529">
        <v>1151</v>
      </c>
      <c r="I19" s="302">
        <v>1285</v>
      </c>
      <c r="J19" s="298">
        <v>1273</v>
      </c>
      <c r="K19" s="298">
        <v>1165</v>
      </c>
      <c r="L19" s="298">
        <v>1220</v>
      </c>
      <c r="M19" s="298">
        <v>1111</v>
      </c>
      <c r="N19" s="246">
        <v>1003</v>
      </c>
      <c r="O19" s="302">
        <v>1099</v>
      </c>
      <c r="P19" s="302">
        <v>1396</v>
      </c>
      <c r="Q19" s="298">
        <v>1393</v>
      </c>
      <c r="R19" s="99"/>
      <c r="S19" s="400">
        <f t="shared" si="5"/>
        <v>5507</v>
      </c>
      <c r="T19" s="400">
        <f t="shared" si="6"/>
        <v>4769</v>
      </c>
      <c r="U19" s="30">
        <f t="shared" si="0"/>
        <v>738</v>
      </c>
      <c r="V19" s="29">
        <f t="shared" si="1"/>
        <v>0.1547494233591948</v>
      </c>
      <c r="W19" s="92"/>
      <c r="X19" s="263">
        <f t="shared" si="7"/>
        <v>5507</v>
      </c>
      <c r="Y19" s="287">
        <v>4769</v>
      </c>
      <c r="Z19" s="287">
        <v>4891</v>
      </c>
      <c r="AA19" s="94">
        <v>4493</v>
      </c>
      <c r="AB19" s="94">
        <v>3216</v>
      </c>
      <c r="AC19" s="94">
        <v>4039</v>
      </c>
      <c r="AD19" s="3"/>
      <c r="AE19" s="3"/>
      <c r="AF19" s="3"/>
      <c r="AI19" s="3"/>
    </row>
    <row r="20" spans="1:35" ht="12.75" customHeight="1">
      <c r="A20" s="8"/>
      <c r="B20" s="92" t="s">
        <v>145</v>
      </c>
      <c r="C20" s="37">
        <f t="shared" si="3"/>
        <v>123</v>
      </c>
      <c r="D20" s="29">
        <f t="shared" si="4"/>
        <v>0.10751748251748251</v>
      </c>
      <c r="E20" s="40"/>
      <c r="F20" s="575">
        <v>1267</v>
      </c>
      <c r="G20" s="529">
        <v>1551</v>
      </c>
      <c r="H20" s="529">
        <v>1180</v>
      </c>
      <c r="I20" s="302">
        <v>1246</v>
      </c>
      <c r="J20" s="298">
        <v>1144</v>
      </c>
      <c r="K20" s="298">
        <v>1004</v>
      </c>
      <c r="L20" s="298">
        <v>1278</v>
      </c>
      <c r="M20" s="298">
        <v>1190</v>
      </c>
      <c r="N20" s="246">
        <v>1227</v>
      </c>
      <c r="O20" s="302">
        <v>1240</v>
      </c>
      <c r="P20" s="302">
        <v>1286</v>
      </c>
      <c r="Q20" s="298">
        <v>1034</v>
      </c>
      <c r="R20" s="99"/>
      <c r="S20" s="400">
        <f t="shared" si="5"/>
        <v>5244</v>
      </c>
      <c r="T20" s="400">
        <f t="shared" si="6"/>
        <v>4616</v>
      </c>
      <c r="U20" s="30">
        <f t="shared" si="0"/>
        <v>628</v>
      </c>
      <c r="V20" s="29">
        <f t="shared" si="1"/>
        <v>0.1360485268630849</v>
      </c>
      <c r="W20" s="92"/>
      <c r="X20" s="263">
        <f t="shared" si="7"/>
        <v>5244</v>
      </c>
      <c r="Y20" s="287">
        <v>4616</v>
      </c>
      <c r="Z20" s="287">
        <v>4787</v>
      </c>
      <c r="AA20" s="94">
        <v>3805</v>
      </c>
      <c r="AB20" s="94">
        <v>2966</v>
      </c>
      <c r="AC20" s="94">
        <v>2594</v>
      </c>
      <c r="AD20" s="3"/>
      <c r="AE20" s="3"/>
      <c r="AF20" s="3"/>
      <c r="AI20" s="3"/>
    </row>
    <row r="21" spans="1:35" ht="12.75" customHeight="1">
      <c r="A21" s="8"/>
      <c r="B21" s="92" t="s">
        <v>140</v>
      </c>
      <c r="C21" s="37">
        <f t="shared" si="3"/>
        <v>-119</v>
      </c>
      <c r="D21" s="29">
        <f t="shared" si="4"/>
        <v>-0.2262357414448669</v>
      </c>
      <c r="E21" s="40"/>
      <c r="F21" s="575">
        <v>407</v>
      </c>
      <c r="G21" s="529">
        <v>538</v>
      </c>
      <c r="H21" s="529">
        <v>538</v>
      </c>
      <c r="I21" s="302">
        <v>562</v>
      </c>
      <c r="J21" s="298">
        <v>526</v>
      </c>
      <c r="K21" s="298">
        <v>531</v>
      </c>
      <c r="L21" s="298">
        <v>625</v>
      </c>
      <c r="M21" s="298">
        <v>514</v>
      </c>
      <c r="N21" s="246">
        <v>-48</v>
      </c>
      <c r="O21" s="302">
        <v>-6</v>
      </c>
      <c r="P21" s="302">
        <v>79</v>
      </c>
      <c r="Q21" s="298">
        <v>45</v>
      </c>
      <c r="R21" s="99"/>
      <c r="S21" s="400">
        <f t="shared" si="5"/>
        <v>2045</v>
      </c>
      <c r="T21" s="400">
        <f t="shared" si="6"/>
        <v>2196</v>
      </c>
      <c r="U21" s="30">
        <f t="shared" si="0"/>
        <v>-151</v>
      </c>
      <c r="V21" s="29">
        <f t="shared" si="1"/>
        <v>-0.06876138433515483</v>
      </c>
      <c r="W21" s="92"/>
      <c r="X21" s="263">
        <f t="shared" si="7"/>
        <v>2045</v>
      </c>
      <c r="Y21" s="287">
        <v>2196</v>
      </c>
      <c r="Z21" s="287">
        <v>70</v>
      </c>
      <c r="AA21" s="94">
        <v>1931</v>
      </c>
      <c r="AB21" s="94">
        <v>3502</v>
      </c>
      <c r="AC21" s="94">
        <v>3959</v>
      </c>
      <c r="AD21" s="3"/>
      <c r="AE21" s="3"/>
      <c r="AF21" s="3"/>
      <c r="AI21" s="3"/>
    </row>
    <row r="22" spans="1:35" ht="12.75" customHeight="1">
      <c r="A22" s="8"/>
      <c r="B22" s="92" t="s">
        <v>181</v>
      </c>
      <c r="C22" s="37">
        <f t="shared" si="3"/>
        <v>-181</v>
      </c>
      <c r="D22" s="29">
        <f t="shared" si="4"/>
        <v>-0.049589041095890414</v>
      </c>
      <c r="E22" s="40"/>
      <c r="F22" s="575">
        <f>3473-4</f>
        <v>3469</v>
      </c>
      <c r="G22" s="529">
        <v>3128</v>
      </c>
      <c r="H22" s="529">
        <v>4162</v>
      </c>
      <c r="I22" s="302">
        <v>3270</v>
      </c>
      <c r="J22" s="298">
        <v>3650</v>
      </c>
      <c r="K22" s="298">
        <v>5050</v>
      </c>
      <c r="L22" s="298">
        <v>3276</v>
      </c>
      <c r="M22" s="298">
        <v>4921</v>
      </c>
      <c r="N22" s="246">
        <v>3742</v>
      </c>
      <c r="O22" s="302">
        <v>3593</v>
      </c>
      <c r="P22" s="302">
        <v>3962</v>
      </c>
      <c r="Q22" s="298">
        <v>4354</v>
      </c>
      <c r="R22" s="99"/>
      <c r="S22" s="400">
        <f t="shared" si="5"/>
        <v>14029</v>
      </c>
      <c r="T22" s="400">
        <f t="shared" si="6"/>
        <v>16897</v>
      </c>
      <c r="U22" s="30">
        <f t="shared" si="0"/>
        <v>-2868</v>
      </c>
      <c r="V22" s="29">
        <f t="shared" si="1"/>
        <v>-0.16973427235603952</v>
      </c>
      <c r="W22" s="92"/>
      <c r="X22" s="263">
        <f t="shared" si="7"/>
        <v>14029</v>
      </c>
      <c r="Y22" s="287">
        <v>16897</v>
      </c>
      <c r="Z22" s="287">
        <v>15651</v>
      </c>
      <c r="AA22" s="94">
        <v>14067</v>
      </c>
      <c r="AB22" s="94">
        <v>13643</v>
      </c>
      <c r="AC22" s="94">
        <v>7931</v>
      </c>
      <c r="AD22" s="3"/>
      <c r="AE22" s="3"/>
      <c r="AF22" s="3"/>
      <c r="AI22" s="3"/>
    </row>
    <row r="23" spans="1:35" ht="12.75" customHeight="1">
      <c r="A23" s="8"/>
      <c r="B23" s="92" t="s">
        <v>147</v>
      </c>
      <c r="C23" s="37">
        <f t="shared" si="3"/>
        <v>-317</v>
      </c>
      <c r="D23" s="29">
        <f t="shared" si="4"/>
        <v>-0.4053708439897698</v>
      </c>
      <c r="E23" s="40"/>
      <c r="F23" s="575">
        <v>465</v>
      </c>
      <c r="G23" s="529">
        <v>702</v>
      </c>
      <c r="H23" s="529">
        <v>735</v>
      </c>
      <c r="I23" s="302">
        <v>721</v>
      </c>
      <c r="J23" s="298">
        <v>782</v>
      </c>
      <c r="K23" s="298">
        <v>718</v>
      </c>
      <c r="L23" s="298">
        <v>689</v>
      </c>
      <c r="M23" s="298">
        <v>636</v>
      </c>
      <c r="N23" s="246">
        <v>666</v>
      </c>
      <c r="O23" s="302">
        <v>632</v>
      </c>
      <c r="P23" s="302">
        <v>655</v>
      </c>
      <c r="Q23" s="298">
        <v>629</v>
      </c>
      <c r="R23" s="99"/>
      <c r="S23" s="400">
        <f t="shared" si="5"/>
        <v>2623</v>
      </c>
      <c r="T23" s="400">
        <f t="shared" si="6"/>
        <v>2825</v>
      </c>
      <c r="U23" s="30">
        <f t="shared" si="0"/>
        <v>-202</v>
      </c>
      <c r="V23" s="29">
        <f t="shared" si="1"/>
        <v>-0.07150442477876107</v>
      </c>
      <c r="W23" s="92"/>
      <c r="X23" s="263">
        <f t="shared" si="7"/>
        <v>2623</v>
      </c>
      <c r="Y23" s="287">
        <v>2825</v>
      </c>
      <c r="Z23" s="287">
        <v>2582</v>
      </c>
      <c r="AA23" s="94">
        <v>1468</v>
      </c>
      <c r="AB23" s="94">
        <v>894</v>
      </c>
      <c r="AC23" s="94">
        <v>979</v>
      </c>
      <c r="AD23" s="3"/>
      <c r="AE23" s="3"/>
      <c r="AF23" s="3"/>
      <c r="AI23" s="3"/>
    </row>
    <row r="24" spans="1:35" ht="12.75" customHeight="1">
      <c r="A24" s="8"/>
      <c r="B24" s="92" t="s">
        <v>148</v>
      </c>
      <c r="C24" s="37">
        <f t="shared" si="3"/>
        <v>-260</v>
      </c>
      <c r="D24" s="29">
        <f t="shared" si="4"/>
        <v>-0.15843997562461914</v>
      </c>
      <c r="E24" s="40"/>
      <c r="F24" s="575">
        <v>1381</v>
      </c>
      <c r="G24" s="529">
        <v>1175</v>
      </c>
      <c r="H24" s="529">
        <v>1323</v>
      </c>
      <c r="I24" s="302">
        <v>1773</v>
      </c>
      <c r="J24" s="298">
        <v>1641</v>
      </c>
      <c r="K24" s="298">
        <v>1288</v>
      </c>
      <c r="L24" s="298">
        <v>1243</v>
      </c>
      <c r="M24" s="298">
        <v>1509</v>
      </c>
      <c r="N24" s="246">
        <v>1308</v>
      </c>
      <c r="O24" s="302">
        <v>1121</v>
      </c>
      <c r="P24" s="302">
        <v>962</v>
      </c>
      <c r="Q24" s="298">
        <v>1059</v>
      </c>
      <c r="R24" s="99"/>
      <c r="S24" s="400">
        <f t="shared" si="5"/>
        <v>5652</v>
      </c>
      <c r="T24" s="400">
        <f t="shared" si="6"/>
        <v>5681</v>
      </c>
      <c r="U24" s="30">
        <f t="shared" si="0"/>
        <v>-29</v>
      </c>
      <c r="V24" s="29">
        <f t="shared" si="1"/>
        <v>-0.005104735081851787</v>
      </c>
      <c r="W24" s="92"/>
      <c r="X24" s="263">
        <f t="shared" si="7"/>
        <v>5652</v>
      </c>
      <c r="Y24" s="287">
        <v>5681</v>
      </c>
      <c r="Z24" s="287">
        <v>4450</v>
      </c>
      <c r="AA24" s="94">
        <v>4256</v>
      </c>
      <c r="AB24" s="94">
        <v>4444</v>
      </c>
      <c r="AC24" s="94">
        <v>4143</v>
      </c>
      <c r="AD24" s="3"/>
      <c r="AE24" s="3"/>
      <c r="AF24" s="3"/>
      <c r="AI24" s="3"/>
    </row>
    <row r="25" spans="1:35" ht="12.75" customHeight="1">
      <c r="A25" s="8"/>
      <c r="B25" s="92" t="s">
        <v>149</v>
      </c>
      <c r="C25" s="37">
        <f t="shared" si="3"/>
        <v>0</v>
      </c>
      <c r="D25" s="29">
        <v>0</v>
      </c>
      <c r="E25" s="40"/>
      <c r="F25" s="261">
        <v>0</v>
      </c>
      <c r="G25" s="299">
        <v>0</v>
      </c>
      <c r="H25" s="299">
        <v>0</v>
      </c>
      <c r="I25" s="253">
        <v>0</v>
      </c>
      <c r="J25" s="299">
        <v>0</v>
      </c>
      <c r="K25" s="299">
        <v>0</v>
      </c>
      <c r="L25" s="299">
        <v>0</v>
      </c>
      <c r="M25" s="253">
        <v>0</v>
      </c>
      <c r="N25" s="263">
        <v>0</v>
      </c>
      <c r="O25" s="253">
        <v>0</v>
      </c>
      <c r="P25" s="253">
        <v>0</v>
      </c>
      <c r="Q25" s="299">
        <v>0</v>
      </c>
      <c r="R25" s="99"/>
      <c r="S25" s="299">
        <f t="shared" si="5"/>
        <v>0</v>
      </c>
      <c r="T25" s="299">
        <f t="shared" si="6"/>
        <v>0</v>
      </c>
      <c r="U25" s="30">
        <f t="shared" si="0"/>
        <v>0</v>
      </c>
      <c r="V25" s="29">
        <v>0</v>
      </c>
      <c r="W25" s="92"/>
      <c r="X25" s="263">
        <f t="shared" si="7"/>
        <v>0</v>
      </c>
      <c r="Y25" s="263">
        <v>0</v>
      </c>
      <c r="Z25" s="263">
        <v>0</v>
      </c>
      <c r="AA25" s="94">
        <v>-1633</v>
      </c>
      <c r="AB25" s="94">
        <v>0</v>
      </c>
      <c r="AC25" s="94">
        <v>0</v>
      </c>
      <c r="AD25" s="3"/>
      <c r="AE25" s="3"/>
      <c r="AF25" s="3"/>
      <c r="AI25" s="3"/>
    </row>
    <row r="26" spans="1:35" ht="12.75" customHeight="1">
      <c r="A26" s="7"/>
      <c r="B26" s="92" t="s">
        <v>150</v>
      </c>
      <c r="C26" s="37">
        <f t="shared" si="3"/>
        <v>-3189</v>
      </c>
      <c r="D26" s="29" t="s">
        <v>54</v>
      </c>
      <c r="E26" s="40"/>
      <c r="F26" s="261">
        <v>0</v>
      </c>
      <c r="G26" s="299">
        <v>6700</v>
      </c>
      <c r="H26" s="299">
        <v>0</v>
      </c>
      <c r="I26" s="253">
        <v>0</v>
      </c>
      <c r="J26" s="298">
        <v>3189</v>
      </c>
      <c r="K26" s="298">
        <v>3125</v>
      </c>
      <c r="L26" s="298">
        <v>3253</v>
      </c>
      <c r="M26" s="253">
        <v>0</v>
      </c>
      <c r="N26" s="263">
        <v>0</v>
      </c>
      <c r="O26" s="253">
        <v>0</v>
      </c>
      <c r="P26" s="253">
        <v>0</v>
      </c>
      <c r="Q26" s="299">
        <v>0</v>
      </c>
      <c r="R26" s="99"/>
      <c r="S26" s="299">
        <f t="shared" si="5"/>
        <v>6700</v>
      </c>
      <c r="T26" s="400">
        <f t="shared" si="6"/>
        <v>9567</v>
      </c>
      <c r="U26" s="30">
        <f t="shared" si="0"/>
        <v>-2867</v>
      </c>
      <c r="V26" s="29">
        <f t="shared" si="1"/>
        <v>-0.2996759694784154</v>
      </c>
      <c r="W26" s="92"/>
      <c r="X26" s="263">
        <f t="shared" si="7"/>
        <v>6700</v>
      </c>
      <c r="Y26" s="287">
        <v>9567</v>
      </c>
      <c r="Z26" s="263">
        <v>0</v>
      </c>
      <c r="AA26" s="94">
        <v>0</v>
      </c>
      <c r="AB26" s="94">
        <v>0</v>
      </c>
      <c r="AC26" s="94">
        <v>0</v>
      </c>
      <c r="AD26" s="3"/>
      <c r="AE26" s="3"/>
      <c r="AF26" s="3"/>
      <c r="AI26" s="3"/>
    </row>
    <row r="27" spans="1:35" ht="12.75" customHeight="1" hidden="1">
      <c r="A27" s="7"/>
      <c r="B27" s="229" t="s">
        <v>281</v>
      </c>
      <c r="C27" s="37">
        <f t="shared" si="3"/>
        <v>0</v>
      </c>
      <c r="D27" s="29" t="e">
        <f t="shared" si="4"/>
        <v>#DIV/0!</v>
      </c>
      <c r="E27" s="40"/>
      <c r="F27" s="261">
        <v>0</v>
      </c>
      <c r="G27" s="299">
        <v>0</v>
      </c>
      <c r="H27" s="299">
        <v>0</v>
      </c>
      <c r="I27" s="253">
        <v>0</v>
      </c>
      <c r="J27" s="299">
        <v>0</v>
      </c>
      <c r="K27" s="299">
        <v>0</v>
      </c>
      <c r="L27" s="299">
        <v>0</v>
      </c>
      <c r="M27" s="253">
        <v>0</v>
      </c>
      <c r="N27" s="263">
        <v>0</v>
      </c>
      <c r="O27" s="253">
        <v>0</v>
      </c>
      <c r="P27" s="253">
        <v>0</v>
      </c>
      <c r="Q27" s="299">
        <v>0</v>
      </c>
      <c r="R27" s="99"/>
      <c r="S27" s="299">
        <f t="shared" si="5"/>
        <v>0</v>
      </c>
      <c r="T27" s="299">
        <f t="shared" si="6"/>
        <v>0</v>
      </c>
      <c r="U27" s="30">
        <f t="shared" si="0"/>
        <v>0</v>
      </c>
      <c r="V27" s="29" t="e">
        <f t="shared" si="1"/>
        <v>#DIV/0!</v>
      </c>
      <c r="W27" s="92"/>
      <c r="X27" s="263">
        <f t="shared" si="7"/>
        <v>0</v>
      </c>
      <c r="Y27" s="290"/>
      <c r="Z27" s="290">
        <v>0</v>
      </c>
      <c r="AA27" s="94">
        <v>0</v>
      </c>
      <c r="AB27" s="94">
        <v>0</v>
      </c>
      <c r="AC27" s="94">
        <v>0</v>
      </c>
      <c r="AD27" s="3"/>
      <c r="AE27" s="3"/>
      <c r="AF27" s="3"/>
      <c r="AI27" s="3"/>
    </row>
    <row r="28" spans="1:35" ht="12.75" customHeight="1">
      <c r="A28" s="8"/>
      <c r="B28" s="7" t="s">
        <v>290</v>
      </c>
      <c r="C28" s="37">
        <f t="shared" si="3"/>
        <v>-2180</v>
      </c>
      <c r="D28" s="29" t="s">
        <v>54</v>
      </c>
      <c r="E28" s="40"/>
      <c r="F28" s="575">
        <v>120</v>
      </c>
      <c r="G28" s="529">
        <v>1391</v>
      </c>
      <c r="H28" s="299">
        <v>0</v>
      </c>
      <c r="I28" s="253">
        <v>0</v>
      </c>
      <c r="J28" s="299">
        <v>2300</v>
      </c>
      <c r="K28" s="299">
        <v>0</v>
      </c>
      <c r="L28" s="299">
        <v>0</v>
      </c>
      <c r="M28" s="253">
        <v>0</v>
      </c>
      <c r="N28" s="263">
        <v>0</v>
      </c>
      <c r="O28" s="253">
        <v>0</v>
      </c>
      <c r="P28" s="253"/>
      <c r="Q28" s="299"/>
      <c r="R28" s="99"/>
      <c r="S28" s="400">
        <f t="shared" si="5"/>
        <v>1511</v>
      </c>
      <c r="T28" s="299">
        <f t="shared" si="6"/>
        <v>2300</v>
      </c>
      <c r="U28" s="30">
        <f t="shared" si="0"/>
        <v>-789</v>
      </c>
      <c r="V28" s="29">
        <f>U28/T28</f>
        <v>-0.34304347826086956</v>
      </c>
      <c r="W28" s="92"/>
      <c r="X28" s="287">
        <f t="shared" si="7"/>
        <v>1511</v>
      </c>
      <c r="Y28" s="290">
        <v>2300</v>
      </c>
      <c r="Z28" s="290">
        <v>0</v>
      </c>
      <c r="AA28" s="94">
        <v>0</v>
      </c>
      <c r="AB28" s="94">
        <v>0</v>
      </c>
      <c r="AC28" s="94">
        <v>0</v>
      </c>
      <c r="AD28" s="3"/>
      <c r="AE28" s="3"/>
      <c r="AF28" s="3"/>
      <c r="AI28" s="3"/>
    </row>
    <row r="29" spans="1:35" ht="12.75" customHeight="1">
      <c r="A29" s="8"/>
      <c r="B29" s="7"/>
      <c r="C29" s="254">
        <f t="shared" si="3"/>
        <v>-3456</v>
      </c>
      <c r="D29" s="255">
        <f t="shared" si="4"/>
        <v>-0.17058242843040475</v>
      </c>
      <c r="E29" s="40"/>
      <c r="F29" s="264">
        <f>SUM(F16:F28)</f>
        <v>16804</v>
      </c>
      <c r="G29" s="420">
        <v>23639</v>
      </c>
      <c r="H29" s="420">
        <v>16744</v>
      </c>
      <c r="I29" s="307">
        <v>19476</v>
      </c>
      <c r="J29" s="306">
        <v>20260</v>
      </c>
      <c r="K29" s="420">
        <v>23462</v>
      </c>
      <c r="L29" s="420">
        <v>21574</v>
      </c>
      <c r="M29" s="306">
        <v>23723</v>
      </c>
      <c r="N29" s="256">
        <v>20053</v>
      </c>
      <c r="O29" s="307">
        <v>19182</v>
      </c>
      <c r="P29" s="307">
        <v>18732</v>
      </c>
      <c r="Q29" s="306">
        <v>20213</v>
      </c>
      <c r="R29" s="99"/>
      <c r="S29" s="403">
        <f t="shared" si="5"/>
        <v>76663</v>
      </c>
      <c r="T29" s="403">
        <f t="shared" si="6"/>
        <v>89019</v>
      </c>
      <c r="U29" s="413">
        <f t="shared" si="0"/>
        <v>-12356</v>
      </c>
      <c r="V29" s="255">
        <f t="shared" si="1"/>
        <v>-0.13880182882306025</v>
      </c>
      <c r="W29" s="92"/>
      <c r="X29" s="288">
        <f>SUM(X16:X28)</f>
        <v>76663</v>
      </c>
      <c r="Y29" s="288">
        <v>89019</v>
      </c>
      <c r="Z29" s="288">
        <v>78180</v>
      </c>
      <c r="AA29" s="386">
        <v>68726</v>
      </c>
      <c r="AB29" s="386">
        <v>58783</v>
      </c>
      <c r="AC29" s="386">
        <v>66472</v>
      </c>
      <c r="AD29" s="3"/>
      <c r="AE29" s="3"/>
      <c r="AF29" s="3"/>
      <c r="AI29" s="3"/>
    </row>
    <row r="30" spans="1:35" s="106" customFormat="1" ht="15" customHeight="1" thickBot="1">
      <c r="A30" s="228" t="s">
        <v>270</v>
      </c>
      <c r="B30" s="227"/>
      <c r="C30" s="528">
        <f t="shared" si="3"/>
        <v>-2793</v>
      </c>
      <c r="D30" s="523">
        <f t="shared" si="4"/>
        <v>0.30220731443410515</v>
      </c>
      <c r="E30" s="40"/>
      <c r="F30" s="267">
        <f>F14-F29</f>
        <v>-12035</v>
      </c>
      <c r="G30" s="308">
        <f>G14-G29</f>
        <v>-19233</v>
      </c>
      <c r="H30" s="308">
        <f>H14-H29</f>
        <v>-8095</v>
      </c>
      <c r="I30" s="308">
        <f>I14-I29</f>
        <v>-9414</v>
      </c>
      <c r="J30" s="267">
        <f aca="true" t="shared" si="8" ref="J30:Q30">J14-J29</f>
        <v>-9242</v>
      </c>
      <c r="K30" s="308">
        <f t="shared" si="8"/>
        <v>-10857</v>
      </c>
      <c r="L30" s="308">
        <f t="shared" si="8"/>
        <v>-9191</v>
      </c>
      <c r="M30" s="308">
        <f t="shared" si="8"/>
        <v>-8959</v>
      </c>
      <c r="N30" s="267">
        <f t="shared" si="8"/>
        <v>-9637</v>
      </c>
      <c r="O30" s="267">
        <f t="shared" si="8"/>
        <v>-11127</v>
      </c>
      <c r="P30" s="267">
        <f t="shared" si="8"/>
        <v>-11360</v>
      </c>
      <c r="Q30" s="267">
        <f t="shared" si="8"/>
        <v>-11478</v>
      </c>
      <c r="R30" s="99"/>
      <c r="S30" s="405">
        <f t="shared" si="5"/>
        <v>-48777</v>
      </c>
      <c r="T30" s="405">
        <f t="shared" si="6"/>
        <v>-38249</v>
      </c>
      <c r="U30" s="414">
        <f t="shared" si="0"/>
        <v>-10528</v>
      </c>
      <c r="V30" s="268">
        <f>U30/T30</f>
        <v>0.2752490261183299</v>
      </c>
      <c r="W30" s="92"/>
      <c r="X30" s="295">
        <f>X14-X29</f>
        <v>-48777</v>
      </c>
      <c r="Y30" s="295">
        <f>Y14-Y29</f>
        <v>-38249</v>
      </c>
      <c r="Z30" s="295">
        <f>Z14-Z29</f>
        <v>-43602</v>
      </c>
      <c r="AA30" s="295">
        <f>AA14-AA29</f>
        <v>-44171</v>
      </c>
      <c r="AB30" s="295">
        <f>AB14-AB29</f>
        <v>-43835</v>
      </c>
      <c r="AC30" s="387">
        <v>-52056</v>
      </c>
      <c r="AD30" s="3"/>
      <c r="AE30" s="296"/>
      <c r="AF30" s="296"/>
      <c r="AI30" s="296"/>
    </row>
    <row r="31" spans="1:35" ht="12.75" customHeight="1" thickTop="1">
      <c r="A31" s="229"/>
      <c r="B31" s="229"/>
      <c r="C31" s="30"/>
      <c r="D31" s="40"/>
      <c r="E31" s="40"/>
      <c r="F31" s="40"/>
      <c r="G31" s="40"/>
      <c r="H31" s="40"/>
      <c r="I31" s="233"/>
      <c r="J31" s="92"/>
      <c r="K31" s="92"/>
      <c r="L31" s="92"/>
      <c r="M31" s="298"/>
      <c r="N31" s="298"/>
      <c r="O31" s="298"/>
      <c r="P31" s="298"/>
      <c r="Q31" s="298"/>
      <c r="R31" s="233"/>
      <c r="S31" s="400"/>
      <c r="T31" s="400"/>
      <c r="U31" s="30"/>
      <c r="V31" s="40"/>
      <c r="W31" s="233"/>
      <c r="X31" s="233"/>
      <c r="Y31" s="30"/>
      <c r="Z31" s="30"/>
      <c r="AA31" s="238"/>
      <c r="AB31" s="238"/>
      <c r="AC31" s="238"/>
      <c r="AD31" s="3"/>
      <c r="AE31" s="3"/>
      <c r="AF31" s="3"/>
      <c r="AI31" s="3"/>
    </row>
    <row r="32" spans="1:35" ht="12.75" customHeight="1">
      <c r="A32" s="230" t="s">
        <v>179</v>
      </c>
      <c r="B32" s="231"/>
      <c r="C32" s="30">
        <f>F32-J32</f>
        <v>-24</v>
      </c>
      <c r="D32" s="40">
        <f>C32/J32</f>
        <v>-0.06315789473684211</v>
      </c>
      <c r="E32" s="40"/>
      <c r="F32" s="30">
        <f>'10 Misc Operating Stats'!F14</f>
        <v>356</v>
      </c>
      <c r="G32" s="30">
        <v>365</v>
      </c>
      <c r="H32" s="30">
        <v>393</v>
      </c>
      <c r="I32" s="30">
        <v>393</v>
      </c>
      <c r="J32" s="30">
        <v>380</v>
      </c>
      <c r="K32" s="30">
        <v>373</v>
      </c>
      <c r="L32" s="30">
        <v>370</v>
      </c>
      <c r="M32" s="30">
        <v>366</v>
      </c>
      <c r="N32" s="30">
        <v>360</v>
      </c>
      <c r="O32" s="30">
        <v>348</v>
      </c>
      <c r="P32" s="30">
        <v>349</v>
      </c>
      <c r="Q32" s="30">
        <v>343</v>
      </c>
      <c r="R32" s="233"/>
      <c r="S32" s="400">
        <f>X32</f>
        <v>356</v>
      </c>
      <c r="T32" s="400">
        <f>Y32</f>
        <v>380</v>
      </c>
      <c r="U32" s="30">
        <f t="shared" si="0"/>
        <v>-24</v>
      </c>
      <c r="V32" s="40">
        <f t="shared" si="1"/>
        <v>-0.06315789473684211</v>
      </c>
      <c r="W32" s="233"/>
      <c r="X32" s="30">
        <f>'10 Misc Operating Stats'!X14</f>
        <v>356</v>
      </c>
      <c r="Y32" s="30">
        <v>380</v>
      </c>
      <c r="Z32" s="30">
        <v>360</v>
      </c>
      <c r="AA32" s="238">
        <v>335</v>
      </c>
      <c r="AB32" s="238">
        <v>324</v>
      </c>
      <c r="AC32" s="238">
        <v>296</v>
      </c>
      <c r="AD32" s="3"/>
      <c r="AE32" s="3"/>
      <c r="AF32" s="3"/>
      <c r="AI32" s="3"/>
    </row>
    <row r="33" spans="1:35" ht="12.75" customHeight="1">
      <c r="A33" s="7"/>
      <c r="B33" s="7"/>
      <c r="C33" s="233"/>
      <c r="D33" s="233"/>
      <c r="E33" s="233"/>
      <c r="F33" s="233"/>
      <c r="G33" s="233"/>
      <c r="H33" s="233"/>
      <c r="I33" s="7"/>
      <c r="J33" s="233"/>
      <c r="K33" s="233"/>
      <c r="L33" s="233"/>
      <c r="M33" s="233"/>
      <c r="N33" s="233"/>
      <c r="O33" s="233"/>
      <c r="P33" s="233"/>
      <c r="Q33" s="233"/>
      <c r="R33" s="233"/>
      <c r="S33" s="233"/>
      <c r="T33" s="233"/>
      <c r="U33" s="233"/>
      <c r="V33" s="233"/>
      <c r="W33" s="233"/>
      <c r="X33" s="233"/>
      <c r="Y33" s="233"/>
      <c r="Z33" s="233"/>
      <c r="AA33" s="357"/>
      <c r="AB33" s="357"/>
      <c r="AC33" s="357"/>
      <c r="AD33" s="3"/>
      <c r="AE33" s="3"/>
      <c r="AF33" s="3"/>
      <c r="AI33" s="3"/>
    </row>
    <row r="34" spans="1:35" ht="18" customHeight="1">
      <c r="A34" s="12" t="s">
        <v>280</v>
      </c>
      <c r="B34" s="7"/>
      <c r="C34" s="92"/>
      <c r="D34" s="92"/>
      <c r="E34" s="233"/>
      <c r="F34" s="233"/>
      <c r="G34" s="233"/>
      <c r="H34" s="233"/>
      <c r="I34" s="233"/>
      <c r="J34" s="233"/>
      <c r="K34" s="233"/>
      <c r="L34" s="92"/>
      <c r="M34" s="92"/>
      <c r="N34" s="92"/>
      <c r="O34" s="92"/>
      <c r="P34" s="92"/>
      <c r="Q34" s="92"/>
      <c r="R34" s="92"/>
      <c r="S34" s="233"/>
      <c r="T34" s="233"/>
      <c r="U34" s="233"/>
      <c r="V34" s="233"/>
      <c r="W34" s="92"/>
      <c r="X34" s="92"/>
      <c r="Y34" s="92"/>
      <c r="Z34" s="92"/>
      <c r="AA34" s="371"/>
      <c r="AB34" s="371"/>
      <c r="AC34" s="371"/>
      <c r="AD34" s="3"/>
      <c r="AE34" s="3"/>
      <c r="AF34" s="3"/>
      <c r="AI34" s="3"/>
    </row>
    <row r="35" spans="1:35" ht="12.75" customHeight="1">
      <c r="A35" s="279"/>
      <c r="B35" s="7"/>
      <c r="C35" s="92"/>
      <c r="D35" s="92"/>
      <c r="E35" s="233"/>
      <c r="F35" s="532"/>
      <c r="G35" s="233"/>
      <c r="H35" s="233"/>
      <c r="I35" s="233"/>
      <c r="J35" s="233"/>
      <c r="K35" s="233"/>
      <c r="L35" s="92"/>
      <c r="M35" s="92"/>
      <c r="N35" s="92"/>
      <c r="O35" s="92"/>
      <c r="P35" s="92"/>
      <c r="Q35" s="92"/>
      <c r="R35" s="92"/>
      <c r="S35" s="233"/>
      <c r="T35" s="233"/>
      <c r="U35" s="233"/>
      <c r="V35" s="233"/>
      <c r="W35" s="92"/>
      <c r="X35" s="92"/>
      <c r="Y35" s="92"/>
      <c r="Z35" s="92"/>
      <c r="AA35" s="371"/>
      <c r="AB35" s="371"/>
      <c r="AC35" s="371"/>
      <c r="AD35" s="3"/>
      <c r="AE35" s="3"/>
      <c r="AF35" s="3"/>
      <c r="AI35" s="3"/>
    </row>
    <row r="36" spans="1:35" ht="12.75" customHeight="1">
      <c r="A36" s="6"/>
      <c r="B36" s="7"/>
      <c r="C36" s="611" t="str">
        <f>C9</f>
        <v>Q4/09 vs. Q4/08</v>
      </c>
      <c r="D36" s="629"/>
      <c r="E36" s="15"/>
      <c r="F36" s="282"/>
      <c r="G36" s="281"/>
      <c r="H36" s="281"/>
      <c r="I36" s="250"/>
      <c r="J36" s="281"/>
      <c r="K36" s="281"/>
      <c r="L36" s="281"/>
      <c r="M36" s="281"/>
      <c r="N36" s="280"/>
      <c r="O36" s="250"/>
      <c r="P36" s="250"/>
      <c r="Q36" s="250"/>
      <c r="R36" s="99"/>
      <c r="S36" s="611" t="str">
        <f>S9</f>
        <v>FY09 vs FY08</v>
      </c>
      <c r="T36" s="640"/>
      <c r="U36" s="640"/>
      <c r="V36" s="641"/>
      <c r="W36" s="15"/>
      <c r="X36" s="98"/>
      <c r="Y36" s="282"/>
      <c r="Z36" s="280"/>
      <c r="AA36" s="98"/>
      <c r="AB36" s="98"/>
      <c r="AC36" s="98"/>
      <c r="AD36" s="3"/>
      <c r="AE36" s="3"/>
      <c r="AF36" s="3"/>
      <c r="AI36" s="3"/>
    </row>
    <row r="37" spans="1:35" ht="12.75" customHeight="1">
      <c r="A37" s="6" t="s">
        <v>199</v>
      </c>
      <c r="B37" s="7"/>
      <c r="C37" s="635" t="s">
        <v>250</v>
      </c>
      <c r="D37" s="636"/>
      <c r="E37" s="283"/>
      <c r="F37" s="20" t="s">
        <v>166</v>
      </c>
      <c r="G37" s="21" t="s">
        <v>167</v>
      </c>
      <c r="H37" s="21" t="s">
        <v>168</v>
      </c>
      <c r="I37" s="14" t="s">
        <v>42</v>
      </c>
      <c r="J37" s="15" t="s">
        <v>43</v>
      </c>
      <c r="K37" s="15" t="s">
        <v>44</v>
      </c>
      <c r="L37" s="15" t="s">
        <v>45</v>
      </c>
      <c r="M37" s="15" t="s">
        <v>46</v>
      </c>
      <c r="N37" s="345" t="s">
        <v>47</v>
      </c>
      <c r="O37" s="319" t="s">
        <v>48</v>
      </c>
      <c r="P37" s="319" t="s">
        <v>49</v>
      </c>
      <c r="Q37" s="319" t="s">
        <v>50</v>
      </c>
      <c r="R37" s="345"/>
      <c r="S37" s="318" t="str">
        <f>S10</f>
        <v>FY09</v>
      </c>
      <c r="T37" s="15" t="str">
        <f>T10</f>
        <v>FY08</v>
      </c>
      <c r="U37" s="637" t="s">
        <v>51</v>
      </c>
      <c r="V37" s="638"/>
      <c r="W37" s="283"/>
      <c r="X37" s="20" t="s">
        <v>55</v>
      </c>
      <c r="Y37" s="20" t="s">
        <v>52</v>
      </c>
      <c r="Z37" s="23" t="s">
        <v>53</v>
      </c>
      <c r="AA37" s="23" t="s">
        <v>242</v>
      </c>
      <c r="AB37" s="23" t="s">
        <v>243</v>
      </c>
      <c r="AC37" s="23" t="s">
        <v>249</v>
      </c>
      <c r="AD37" s="3"/>
      <c r="AE37" s="3"/>
      <c r="AF37" s="3"/>
      <c r="AI37" s="3"/>
    </row>
    <row r="38" spans="1:35" ht="12.75" customHeight="1">
      <c r="A38" s="232"/>
      <c r="B38" s="233" t="s">
        <v>4</v>
      </c>
      <c r="C38" s="527">
        <f>F38-J38</f>
        <v>-6249</v>
      </c>
      <c r="D38" s="418">
        <f>C38/J38</f>
        <v>-0.5671628244690506</v>
      </c>
      <c r="E38" s="233"/>
      <c r="F38" s="316">
        <f>F14</f>
        <v>4769</v>
      </c>
      <c r="G38" s="400">
        <v>4406</v>
      </c>
      <c r="H38" s="400">
        <v>8649</v>
      </c>
      <c r="I38" s="463">
        <v>10062</v>
      </c>
      <c r="J38" s="321">
        <v>11018</v>
      </c>
      <c r="K38" s="321">
        <v>12605</v>
      </c>
      <c r="L38" s="321">
        <v>12383</v>
      </c>
      <c r="M38" s="322">
        <v>14764</v>
      </c>
      <c r="N38" s="343">
        <v>10416</v>
      </c>
      <c r="O38" s="322">
        <v>8055</v>
      </c>
      <c r="P38" s="322">
        <v>7372</v>
      </c>
      <c r="Q38" s="322">
        <v>8735</v>
      </c>
      <c r="R38" s="99"/>
      <c r="S38" s="316">
        <f aca="true" t="shared" si="9" ref="S38:T40">X38</f>
        <v>27886</v>
      </c>
      <c r="T38" s="416">
        <f t="shared" si="9"/>
        <v>50770</v>
      </c>
      <c r="U38" s="417">
        <f>S38-T38</f>
        <v>-22884</v>
      </c>
      <c r="V38" s="418">
        <f>U38/T38</f>
        <v>-0.45073862517234586</v>
      </c>
      <c r="W38" s="92"/>
      <c r="X38" s="265">
        <f>F38+G38+H38+I38</f>
        <v>27886</v>
      </c>
      <c r="Y38" s="287">
        <v>50770</v>
      </c>
      <c r="Z38" s="287">
        <v>34578</v>
      </c>
      <c r="AA38" s="385">
        <v>24555</v>
      </c>
      <c r="AB38" s="385">
        <v>14948</v>
      </c>
      <c r="AC38" s="385">
        <v>14416</v>
      </c>
      <c r="AD38" s="3"/>
      <c r="AE38" s="3"/>
      <c r="AF38" s="3"/>
      <c r="AI38" s="3"/>
    </row>
    <row r="39" spans="1:35" ht="12.75" customHeight="1">
      <c r="A39" s="92"/>
      <c r="B39" s="233" t="s">
        <v>163</v>
      </c>
      <c r="C39" s="93">
        <f>F39-J39</f>
        <v>1913</v>
      </c>
      <c r="D39" s="44">
        <f>C39/J39</f>
        <v>0.12951052738474036</v>
      </c>
      <c r="E39" s="11"/>
      <c r="F39" s="503">
        <f>F16+F17+F18+F19+F20+F21+F22+F23+F24</f>
        <v>16684</v>
      </c>
      <c r="G39" s="530">
        <v>15548</v>
      </c>
      <c r="H39" s="530">
        <v>16744</v>
      </c>
      <c r="I39" s="463">
        <v>19476</v>
      </c>
      <c r="J39" s="320">
        <v>14771</v>
      </c>
      <c r="K39" s="320">
        <v>20337</v>
      </c>
      <c r="L39" s="320">
        <v>18321</v>
      </c>
      <c r="M39" s="324">
        <v>23723</v>
      </c>
      <c r="N39" s="287">
        <v>20053</v>
      </c>
      <c r="O39" s="324">
        <v>19182</v>
      </c>
      <c r="P39" s="324">
        <v>18732</v>
      </c>
      <c r="Q39" s="324">
        <v>20213</v>
      </c>
      <c r="R39" s="99"/>
      <c r="S39" s="317">
        <f t="shared" si="9"/>
        <v>68452</v>
      </c>
      <c r="T39" s="400">
        <f t="shared" si="9"/>
        <v>77152</v>
      </c>
      <c r="U39" s="238">
        <f>S39-T39</f>
        <v>-8700</v>
      </c>
      <c r="V39" s="44">
        <f>U39/T39</f>
        <v>-0.11276441310659477</v>
      </c>
      <c r="W39" s="92"/>
      <c r="X39" s="265">
        <f>F39+G39+H39+I39</f>
        <v>68452</v>
      </c>
      <c r="Y39" s="287">
        <v>77152</v>
      </c>
      <c r="Z39" s="287">
        <v>78180</v>
      </c>
      <c r="AA39" s="37">
        <v>68726</v>
      </c>
      <c r="AB39" s="42">
        <v>58783</v>
      </c>
      <c r="AC39" s="42">
        <v>66472</v>
      </c>
      <c r="AD39" s="3"/>
      <c r="AE39" s="3"/>
      <c r="AF39" s="3"/>
      <c r="AI39" s="3"/>
    </row>
    <row r="40" spans="1:35" ht="12.75" customHeight="1">
      <c r="A40" s="92"/>
      <c r="B40" s="233" t="s">
        <v>186</v>
      </c>
      <c r="C40" s="239">
        <f>F40-J40</f>
        <v>-8162</v>
      </c>
      <c r="D40" s="240">
        <f>C40/J40</f>
        <v>2.174793498534506</v>
      </c>
      <c r="E40" s="11"/>
      <c r="F40" s="554">
        <f>F38-F39</f>
        <v>-11915</v>
      </c>
      <c r="G40" s="543">
        <v>-11142</v>
      </c>
      <c r="H40" s="543">
        <v>-8095</v>
      </c>
      <c r="I40" s="465">
        <v>-9414</v>
      </c>
      <c r="J40" s="326">
        <v>-3753</v>
      </c>
      <c r="K40" s="326">
        <v>-7732</v>
      </c>
      <c r="L40" s="326">
        <v>-5938</v>
      </c>
      <c r="M40" s="327">
        <v>-8959</v>
      </c>
      <c r="N40" s="293">
        <v>-9637</v>
      </c>
      <c r="O40" s="327">
        <v>-11127</v>
      </c>
      <c r="P40" s="327">
        <v>-11360</v>
      </c>
      <c r="Q40" s="327">
        <v>-11478</v>
      </c>
      <c r="R40" s="99"/>
      <c r="S40" s="315">
        <f t="shared" si="9"/>
        <v>-40566</v>
      </c>
      <c r="T40" s="412">
        <f t="shared" si="9"/>
        <v>-26382</v>
      </c>
      <c r="U40" s="419">
        <f>S40-T40</f>
        <v>-14184</v>
      </c>
      <c r="V40" s="240">
        <f>U40/T40</f>
        <v>0.5376392995224016</v>
      </c>
      <c r="W40" s="92"/>
      <c r="X40" s="284">
        <f>F40+G40+H40+I40</f>
        <v>-40566</v>
      </c>
      <c r="Y40" s="293">
        <v>-26382</v>
      </c>
      <c r="Z40" s="293">
        <v>-43602</v>
      </c>
      <c r="AA40" s="245">
        <v>-44171</v>
      </c>
      <c r="AB40" s="245">
        <v>-43835</v>
      </c>
      <c r="AC40" s="245">
        <v>-52056</v>
      </c>
      <c r="AD40" s="3"/>
      <c r="AE40" s="3"/>
      <c r="AF40" s="3"/>
      <c r="AI40" s="3"/>
    </row>
    <row r="41" spans="1:35" ht="12.75" customHeight="1">
      <c r="A41" s="92"/>
      <c r="B41" s="233"/>
      <c r="C41" s="238"/>
      <c r="D41" s="11"/>
      <c r="E41" s="11"/>
      <c r="F41" s="11"/>
      <c r="G41" s="11"/>
      <c r="H41" s="11"/>
      <c r="I41" s="233"/>
      <c r="R41" s="233"/>
      <c r="S41" s="233"/>
      <c r="T41" s="233"/>
      <c r="U41" s="238"/>
      <c r="V41" s="11"/>
      <c r="W41" s="233"/>
      <c r="X41" s="233"/>
      <c r="AC41" s="3"/>
      <c r="AD41" s="3"/>
      <c r="AE41" s="3"/>
      <c r="AF41" s="3"/>
      <c r="AI41" s="3"/>
    </row>
    <row r="42" spans="1:32" ht="12.75" customHeight="1">
      <c r="A42" s="1" t="s">
        <v>41</v>
      </c>
      <c r="B42" s="13"/>
      <c r="C42" s="13"/>
      <c r="D42" s="13"/>
      <c r="E42" s="13"/>
      <c r="F42" s="13"/>
      <c r="G42" s="13"/>
      <c r="H42" s="13"/>
      <c r="I42" s="15"/>
      <c r="J42" s="15"/>
      <c r="K42" s="15"/>
      <c r="L42" s="15"/>
      <c r="M42" s="15"/>
      <c r="N42" s="15"/>
      <c r="O42" s="15"/>
      <c r="P42" s="15"/>
      <c r="Q42" s="15"/>
      <c r="R42" s="3"/>
      <c r="S42" s="3"/>
      <c r="T42" s="3"/>
      <c r="U42" s="3"/>
      <c r="V42" s="3"/>
      <c r="Y42" s="2"/>
      <c r="Z42" s="2"/>
      <c r="AE42" s="3"/>
      <c r="AF42" s="3"/>
    </row>
    <row r="43" spans="1:32" ht="12.75">
      <c r="A43" s="3"/>
      <c r="B43" s="3"/>
      <c r="C43" s="3"/>
      <c r="D43" s="3"/>
      <c r="I43" s="2"/>
      <c r="J43" s="2"/>
      <c r="K43" s="2"/>
      <c r="L43" s="2"/>
      <c r="M43" s="2"/>
      <c r="N43" s="2"/>
      <c r="O43" s="2"/>
      <c r="P43" s="2"/>
      <c r="Q43" s="2"/>
      <c r="R43" s="3"/>
      <c r="S43" s="3"/>
      <c r="T43" s="3"/>
      <c r="U43" s="3"/>
      <c r="V43" s="3"/>
      <c r="Y43" s="30"/>
      <c r="Z43" s="30"/>
      <c r="AE43" s="3"/>
      <c r="AF43" s="3"/>
    </row>
    <row r="44" spans="17:32" ht="12.75">
      <c r="Q44" s="30"/>
      <c r="R44" s="3"/>
      <c r="S44" s="3"/>
      <c r="T44" s="3"/>
      <c r="Y44" s="30"/>
      <c r="Z44" s="30"/>
      <c r="AE44" s="3"/>
      <c r="AF44" s="3"/>
    </row>
    <row r="45" spans="17:32" ht="12.75">
      <c r="Q45" s="30"/>
      <c r="R45" s="3"/>
      <c r="S45" s="3"/>
      <c r="T45" s="3"/>
      <c r="Y45" s="30"/>
      <c r="Z45" s="30"/>
      <c r="AE45" s="3"/>
      <c r="AF45" s="3"/>
    </row>
    <row r="46" spans="17:26" ht="12.75">
      <c r="Q46" s="30"/>
      <c r="R46" s="3"/>
      <c r="S46" s="3"/>
      <c r="T46" s="3"/>
      <c r="Y46" s="30"/>
      <c r="Z46" s="30"/>
    </row>
    <row r="47" spans="17:26" ht="12.75">
      <c r="Q47" s="30"/>
      <c r="R47" s="3"/>
      <c r="S47" s="3"/>
      <c r="T47" s="3"/>
      <c r="Y47" s="2"/>
      <c r="Z47" s="2"/>
    </row>
    <row r="48" spans="17:26" ht="12.75">
      <c r="Q48" s="11"/>
      <c r="R48" s="3"/>
      <c r="S48" s="3"/>
      <c r="T48" s="3"/>
      <c r="Y48" s="31"/>
      <c r="Z48" s="31"/>
    </row>
    <row r="49" spans="9:26" ht="12.75">
      <c r="I49" s="32"/>
      <c r="Q49" s="32"/>
      <c r="R49" s="3"/>
      <c r="S49" s="3"/>
      <c r="T49" s="3"/>
      <c r="Y49" s="2"/>
      <c r="Z49" s="2"/>
    </row>
    <row r="50" spans="9:26" ht="12.75">
      <c r="I50" s="2"/>
      <c r="Q50" s="237"/>
      <c r="R50" s="3"/>
      <c r="S50" s="3"/>
      <c r="T50" s="3"/>
      <c r="Y50" s="2"/>
      <c r="Z50" s="2"/>
    </row>
    <row r="51" spans="9:26" ht="12.75">
      <c r="I51" s="2"/>
      <c r="J51" s="2"/>
      <c r="M51" s="2"/>
      <c r="O51" s="2"/>
      <c r="P51" s="2"/>
      <c r="Q51" s="2"/>
      <c r="R51" s="3"/>
      <c r="S51" s="3"/>
      <c r="T51" s="3"/>
      <c r="Y51" s="50"/>
      <c r="Z51" s="50"/>
    </row>
    <row r="52" spans="9:26" ht="12.75">
      <c r="I52" s="31"/>
      <c r="J52" s="43"/>
      <c r="K52" s="31"/>
      <c r="L52" s="31"/>
      <c r="M52" s="31"/>
      <c r="N52" s="36"/>
      <c r="O52" s="36"/>
      <c r="P52" s="33"/>
      <c r="Q52" s="1"/>
      <c r="R52" s="3"/>
      <c r="S52" s="3"/>
      <c r="T52" s="3"/>
      <c r="Y52" s="50"/>
      <c r="Z52" s="50"/>
    </row>
    <row r="53" spans="9:26" ht="12.75">
      <c r="I53" s="31"/>
      <c r="J53" s="31"/>
      <c r="K53" s="31"/>
      <c r="L53" s="31"/>
      <c r="M53" s="31"/>
      <c r="N53" s="39"/>
      <c r="O53" s="31"/>
      <c r="P53" s="31"/>
      <c r="Q53" s="31"/>
      <c r="R53" s="3"/>
      <c r="S53" s="3"/>
      <c r="T53" s="3"/>
      <c r="Y53" s="51"/>
      <c r="Z53" s="51"/>
    </row>
    <row r="54" spans="9:26" ht="12.75">
      <c r="I54" s="11"/>
      <c r="J54" s="41"/>
      <c r="K54" s="34"/>
      <c r="L54" s="34"/>
      <c r="M54" s="34"/>
      <c r="N54" s="41"/>
      <c r="O54" s="34"/>
      <c r="P54" s="34"/>
      <c r="Q54" s="46"/>
      <c r="R54" s="3"/>
      <c r="S54" s="3"/>
      <c r="T54" s="3"/>
      <c r="Y54" s="52"/>
      <c r="Z54" s="52"/>
    </row>
    <row r="55" spans="9:26" ht="12.75">
      <c r="I55" s="11"/>
      <c r="J55" s="34"/>
      <c r="K55" s="34"/>
      <c r="L55" s="34"/>
      <c r="M55" s="34"/>
      <c r="N55" s="34"/>
      <c r="O55" s="34"/>
      <c r="P55" s="34"/>
      <c r="Q55" s="46"/>
      <c r="R55" s="3"/>
      <c r="S55" s="3"/>
      <c r="T55" s="3"/>
      <c r="Y55" s="34"/>
      <c r="Z55" s="34"/>
    </row>
    <row r="56" spans="9:26" ht="12.75">
      <c r="I56" s="11"/>
      <c r="J56" s="34"/>
      <c r="K56" s="34"/>
      <c r="L56" s="34"/>
      <c r="M56" s="34"/>
      <c r="N56" s="34"/>
      <c r="O56" s="34"/>
      <c r="P56" s="34"/>
      <c r="Q56" s="40"/>
      <c r="R56" s="3"/>
      <c r="S56" s="3"/>
      <c r="T56" s="3"/>
      <c r="Y56" s="34"/>
      <c r="Z56" s="34"/>
    </row>
    <row r="57" spans="9:26" ht="12.75">
      <c r="I57" s="34"/>
      <c r="J57" s="34"/>
      <c r="K57" s="34"/>
      <c r="L57" s="34"/>
      <c r="M57" s="34"/>
      <c r="N57" s="34"/>
      <c r="O57" s="34"/>
      <c r="P57" s="34"/>
      <c r="Q57" s="34"/>
      <c r="R57" s="3"/>
      <c r="S57" s="3"/>
      <c r="T57" s="3"/>
      <c r="Y57" s="35"/>
      <c r="Z57" s="35"/>
    </row>
    <row r="58" spans="9:26" ht="12.75">
      <c r="I58" s="35"/>
      <c r="J58" s="35"/>
      <c r="K58" s="35"/>
      <c r="L58" s="35"/>
      <c r="M58" s="35"/>
      <c r="N58" s="35"/>
      <c r="O58" s="35"/>
      <c r="P58" s="35"/>
      <c r="Q58" s="35"/>
      <c r="R58" s="3"/>
      <c r="S58" s="3"/>
      <c r="T58" s="3"/>
      <c r="Y58" s="35"/>
      <c r="Z58" s="35"/>
    </row>
    <row r="59" spans="9:26" ht="12.75">
      <c r="I59" s="35"/>
      <c r="J59" s="35"/>
      <c r="K59" s="35"/>
      <c r="L59" s="35"/>
      <c r="M59" s="35"/>
      <c r="N59" s="35"/>
      <c r="O59" s="35"/>
      <c r="P59" s="35"/>
      <c r="Q59" s="35"/>
      <c r="R59" s="3"/>
      <c r="S59" s="3"/>
      <c r="T59" s="3"/>
      <c r="Y59" s="3"/>
      <c r="Z59" s="3"/>
    </row>
    <row r="60" spans="9:26" ht="12.75">
      <c r="I60" s="3"/>
      <c r="J60" s="3"/>
      <c r="K60" s="3"/>
      <c r="L60" s="3"/>
      <c r="M60" s="3"/>
      <c r="N60" s="3"/>
      <c r="O60" s="3"/>
      <c r="P60" s="3"/>
      <c r="Q60" s="3"/>
      <c r="R60" s="3"/>
      <c r="S60" s="3"/>
      <c r="T60" s="3"/>
      <c r="Y60" s="3"/>
      <c r="Z60" s="3"/>
    </row>
    <row r="61" spans="9:26" ht="12.75">
      <c r="I61" s="3"/>
      <c r="J61" s="3"/>
      <c r="K61" s="3"/>
      <c r="L61" s="3"/>
      <c r="M61" s="3"/>
      <c r="N61" s="3"/>
      <c r="O61" s="3"/>
      <c r="P61" s="3"/>
      <c r="Q61" s="3"/>
      <c r="R61" s="3"/>
      <c r="S61" s="3"/>
      <c r="T61" s="3"/>
      <c r="Y61" s="3"/>
      <c r="Z61" s="3"/>
    </row>
    <row r="62" spans="9:26" ht="12.75">
      <c r="I62" s="3"/>
      <c r="J62" s="3"/>
      <c r="K62" s="3"/>
      <c r="L62" s="3"/>
      <c r="M62" s="3"/>
      <c r="N62" s="3"/>
      <c r="O62" s="3"/>
      <c r="P62" s="3"/>
      <c r="Q62" s="3"/>
      <c r="R62" s="3"/>
      <c r="S62" s="3"/>
      <c r="T62" s="3"/>
      <c r="Y62" s="3"/>
      <c r="Z62" s="3"/>
    </row>
    <row r="63" spans="9:26" ht="12.75">
      <c r="I63" s="3"/>
      <c r="J63" s="3"/>
      <c r="K63" s="3"/>
      <c r="L63" s="3"/>
      <c r="M63" s="3"/>
      <c r="N63" s="3"/>
      <c r="O63" s="3"/>
      <c r="P63" s="3"/>
      <c r="Q63" s="3"/>
      <c r="R63" s="3"/>
      <c r="S63" s="3"/>
      <c r="T63" s="3"/>
      <c r="Y63" s="3"/>
      <c r="Z63" s="3"/>
    </row>
    <row r="64" spans="9:20" ht="12.75">
      <c r="I64" s="3"/>
      <c r="J64" s="3"/>
      <c r="K64" s="3"/>
      <c r="L64" s="3"/>
      <c r="M64" s="3"/>
      <c r="N64" s="3"/>
      <c r="O64" s="3"/>
      <c r="P64" s="3"/>
      <c r="Q64" s="3"/>
      <c r="R64" s="3"/>
      <c r="S64" s="3"/>
      <c r="T64" s="3"/>
    </row>
  </sheetData>
  <mergeCells count="9">
    <mergeCell ref="U37:V37"/>
    <mergeCell ref="C9:D9"/>
    <mergeCell ref="C10:D10"/>
    <mergeCell ref="C36:D36"/>
    <mergeCell ref="C37:D37"/>
    <mergeCell ref="S8:V8"/>
    <mergeCell ref="S9:V9"/>
    <mergeCell ref="S36:V36"/>
    <mergeCell ref="U10:V10"/>
  </mergeCells>
  <conditionalFormatting sqref="A31:B31 A34:A35">
    <cfRule type="cellIs" priority="1" dxfId="0" operator="equal" stopIfTrue="1">
      <formula>0</formula>
    </cfRule>
  </conditionalFormatting>
  <printOptions/>
  <pageMargins left="0.24" right="0.22" top="0.41" bottom="0.59" header="0.38" footer="0.36"/>
  <pageSetup horizontalDpi="600" verticalDpi="600" orientation="landscape" scale="55" r:id="rId2"/>
  <headerFooter alignWithMargins="0">
    <oddFooter>&amp;LCCI Supplementary Fiscal Q4/09 - May 20, 2009&amp;CPage 5</oddFooter>
  </headerFooter>
  <drawing r:id="rId1"/>
</worksheet>
</file>

<file path=xl/worksheets/sheet8.xml><?xml version="1.0" encoding="utf-8"?>
<worksheet xmlns="http://schemas.openxmlformats.org/spreadsheetml/2006/main" xmlns:r="http://schemas.openxmlformats.org/officeDocument/2006/relationships">
  <dimension ref="A5:AK81"/>
  <sheetViews>
    <sheetView zoomScale="75" zoomScaleNormal="75" workbookViewId="0" topLeftCell="A1">
      <pane ySplit="10" topLeftCell="BM11" activePane="bottomLeft" state="frozen"/>
      <selection pane="topLeft" activeCell="B36" sqref="B36:L37"/>
      <selection pane="bottomLeft" activeCell="B36" sqref="B36:L37"/>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7109375" style="3" customWidth="1"/>
    <col min="9" max="14" width="9.7109375" style="0" customWidth="1"/>
    <col min="15" max="17" width="9.7109375" style="0" hidden="1" customWidth="1"/>
    <col min="18" max="18" width="1.57421875" style="0" customWidth="1"/>
    <col min="19" max="20" width="9.7109375" style="0" hidden="1" customWidth="1"/>
    <col min="21" max="22" width="9.7109375" style="0" customWidth="1"/>
    <col min="23" max="23" width="1.57421875" style="0" customWidth="1"/>
    <col min="24" max="28" width="9.7109375" style="0" customWidth="1"/>
    <col min="29" max="29" width="9.7109375" style="0" hidden="1" customWidth="1"/>
    <col min="30" max="30" width="1.57421875" style="0" customWidth="1"/>
  </cols>
  <sheetData>
    <row r="1" ht="12.75"/>
    <row r="2" ht="12.75"/>
    <row r="3" ht="12.75"/>
    <row r="4" ht="12.75"/>
    <row r="5" spans="1:11" ht="12.75">
      <c r="A5" s="3"/>
      <c r="B5" s="3"/>
      <c r="C5" s="3"/>
      <c r="D5" s="3"/>
      <c r="I5" s="3"/>
      <c r="J5" s="3"/>
      <c r="K5" s="3"/>
    </row>
    <row r="6" spans="1:11" ht="18" customHeight="1">
      <c r="A6" s="146" t="s">
        <v>169</v>
      </c>
      <c r="B6" s="3"/>
      <c r="C6" s="3"/>
      <c r="D6" s="3"/>
      <c r="I6" s="3"/>
      <c r="J6" s="3"/>
      <c r="K6" s="3"/>
    </row>
    <row r="7" spans="1:11" ht="18" customHeight="1">
      <c r="A7" s="146" t="s">
        <v>255</v>
      </c>
      <c r="B7" s="5"/>
      <c r="C7" s="5"/>
      <c r="D7" s="5"/>
      <c r="E7" s="5"/>
      <c r="F7" s="5"/>
      <c r="G7" s="5"/>
      <c r="H7" s="5"/>
      <c r="I7" s="3"/>
      <c r="J7" s="3"/>
      <c r="K7" s="3"/>
    </row>
    <row r="8" spans="1:22" ht="9.75" customHeight="1">
      <c r="A8" s="2"/>
      <c r="B8" s="2"/>
      <c r="C8" s="2"/>
      <c r="D8" s="2"/>
      <c r="E8" s="2"/>
      <c r="F8" s="563"/>
      <c r="G8" s="2"/>
      <c r="H8" s="2"/>
      <c r="I8" s="3"/>
      <c r="J8" s="3"/>
      <c r="K8" s="3"/>
      <c r="S8" s="639"/>
      <c r="T8" s="639"/>
      <c r="U8" s="639"/>
      <c r="V8" s="639"/>
    </row>
    <row r="9" spans="1:29" ht="12.75">
      <c r="A9" s="6" t="s">
        <v>1</v>
      </c>
      <c r="B9" s="7"/>
      <c r="C9" s="611" t="s">
        <v>286</v>
      </c>
      <c r="D9" s="629"/>
      <c r="E9" s="15"/>
      <c r="F9" s="17"/>
      <c r="G9" s="18"/>
      <c r="H9" s="18"/>
      <c r="I9" s="19"/>
      <c r="J9" s="18"/>
      <c r="K9" s="18"/>
      <c r="L9" s="18"/>
      <c r="M9" s="18"/>
      <c r="N9" s="22"/>
      <c r="O9" s="19"/>
      <c r="P9" s="19"/>
      <c r="Q9" s="19"/>
      <c r="R9" s="24"/>
      <c r="S9" s="611" t="s">
        <v>285</v>
      </c>
      <c r="T9" s="602"/>
      <c r="U9" s="602"/>
      <c r="V9" s="603"/>
      <c r="W9" s="15"/>
      <c r="X9" s="98"/>
      <c r="Y9" s="17"/>
      <c r="Z9" s="22"/>
      <c r="AA9" s="98"/>
      <c r="AB9" s="98"/>
      <c r="AC9" s="98"/>
    </row>
    <row r="10" spans="1:37" ht="13.5">
      <c r="A10" s="6" t="s">
        <v>2</v>
      </c>
      <c r="B10" s="7"/>
      <c r="C10" s="630" t="s">
        <v>51</v>
      </c>
      <c r="D10" s="631"/>
      <c r="E10" s="16"/>
      <c r="F10" s="20" t="s">
        <v>166</v>
      </c>
      <c r="G10" s="21" t="s">
        <v>167</v>
      </c>
      <c r="H10" s="21" t="s">
        <v>168</v>
      </c>
      <c r="I10" s="14" t="s">
        <v>42</v>
      </c>
      <c r="J10" s="21" t="s">
        <v>43</v>
      </c>
      <c r="K10" s="21" t="s">
        <v>44</v>
      </c>
      <c r="L10" s="21" t="s">
        <v>45</v>
      </c>
      <c r="M10" s="21" t="s">
        <v>46</v>
      </c>
      <c r="N10" s="23" t="s">
        <v>47</v>
      </c>
      <c r="O10" s="14" t="s">
        <v>48</v>
      </c>
      <c r="P10" s="14" t="s">
        <v>49</v>
      </c>
      <c r="Q10" s="14" t="s">
        <v>50</v>
      </c>
      <c r="R10" s="345"/>
      <c r="S10" s="318" t="s">
        <v>55</v>
      </c>
      <c r="T10" s="15" t="s">
        <v>52</v>
      </c>
      <c r="U10" s="607" t="s">
        <v>51</v>
      </c>
      <c r="V10" s="608"/>
      <c r="W10" s="16"/>
      <c r="X10" s="20" t="s">
        <v>55</v>
      </c>
      <c r="Y10" s="20" t="s">
        <v>52</v>
      </c>
      <c r="Z10" s="23" t="s">
        <v>53</v>
      </c>
      <c r="AA10" s="14" t="s">
        <v>242</v>
      </c>
      <c r="AB10" s="14" t="s">
        <v>243</v>
      </c>
      <c r="AC10" s="14" t="s">
        <v>249</v>
      </c>
      <c r="AD10" s="3"/>
      <c r="AE10" s="3"/>
      <c r="AI10" s="3"/>
      <c r="AJ10" s="3"/>
      <c r="AK10" s="3"/>
    </row>
    <row r="11" spans="1:35" ht="12.75" customHeight="1">
      <c r="A11" s="227" t="s">
        <v>136</v>
      </c>
      <c r="B11" s="8"/>
      <c r="C11" s="249"/>
      <c r="D11" s="250"/>
      <c r="E11" s="233"/>
      <c r="F11" s="249"/>
      <c r="G11" s="281"/>
      <c r="H11" s="233"/>
      <c r="I11" s="251"/>
      <c r="J11" s="281"/>
      <c r="K11" s="233"/>
      <c r="L11" s="233"/>
      <c r="M11" s="251"/>
      <c r="N11" s="99"/>
      <c r="O11" s="251"/>
      <c r="P11" s="251"/>
      <c r="Q11" s="251"/>
      <c r="R11" s="99"/>
      <c r="S11" s="282"/>
      <c r="T11" s="281"/>
      <c r="U11" s="281"/>
      <c r="V11" s="250"/>
      <c r="W11" s="92"/>
      <c r="X11" s="99"/>
      <c r="Y11" s="249"/>
      <c r="Z11" s="99"/>
      <c r="AA11" s="368"/>
      <c r="AB11" s="368"/>
      <c r="AC11" s="368"/>
      <c r="AD11" s="3"/>
      <c r="AE11" s="3"/>
      <c r="AI11" s="3"/>
    </row>
    <row r="12" spans="1:35" ht="12.75" customHeight="1">
      <c r="A12" s="7"/>
      <c r="B12" s="92" t="s">
        <v>183</v>
      </c>
      <c r="C12" s="37">
        <f>F12-J12</f>
        <v>-8457</v>
      </c>
      <c r="D12" s="29">
        <f>C12/J12</f>
        <v>-0.21284574535021267</v>
      </c>
      <c r="E12" s="40"/>
      <c r="F12" s="575">
        <f>'3 Canaccord Adams'!F17</f>
        <v>31276</v>
      </c>
      <c r="G12" s="529">
        <v>20429</v>
      </c>
      <c r="H12" s="529">
        <v>29110</v>
      </c>
      <c r="I12" s="302">
        <v>42035</v>
      </c>
      <c r="J12" s="299">
        <v>39733</v>
      </c>
      <c r="K12" s="252">
        <v>52078</v>
      </c>
      <c r="L12" s="252">
        <v>48387</v>
      </c>
      <c r="M12" s="253">
        <v>72387</v>
      </c>
      <c r="N12" s="263">
        <v>68481</v>
      </c>
      <c r="O12" s="253">
        <v>58781</v>
      </c>
      <c r="P12" s="253">
        <v>46473</v>
      </c>
      <c r="Q12" s="253">
        <v>53589</v>
      </c>
      <c r="R12" s="99"/>
      <c r="S12" s="317">
        <f>X12</f>
        <v>122850</v>
      </c>
      <c r="T12" s="400">
        <f aca="true" t="shared" si="0" ref="S12:T15">Y12</f>
        <v>212585</v>
      </c>
      <c r="U12" s="30">
        <f>S12-T12</f>
        <v>-89735</v>
      </c>
      <c r="V12" s="29">
        <f>U12/T12</f>
        <v>-0.4221135075381612</v>
      </c>
      <c r="W12" s="92"/>
      <c r="X12" s="287">
        <f>F12+G12+H12+I12</f>
        <v>122850</v>
      </c>
      <c r="Y12" s="287">
        <v>212585</v>
      </c>
      <c r="Z12" s="287">
        <v>227324</v>
      </c>
      <c r="AA12" s="42">
        <v>189074</v>
      </c>
      <c r="AB12" s="42">
        <v>123564</v>
      </c>
      <c r="AC12" s="42">
        <v>127269</v>
      </c>
      <c r="AD12" s="233"/>
      <c r="AE12" s="233"/>
      <c r="AI12" s="3"/>
    </row>
    <row r="13" spans="1:35" ht="12.75" customHeight="1">
      <c r="A13" s="7"/>
      <c r="B13" s="92" t="s">
        <v>184</v>
      </c>
      <c r="C13" s="37">
        <f>F13-J13</f>
        <v>-16947</v>
      </c>
      <c r="D13" s="29">
        <f>C13/J13</f>
        <v>-0.3156688894683903</v>
      </c>
      <c r="E13" s="40"/>
      <c r="F13" s="575">
        <f>'4 Private Client'!F12</f>
        <v>36739</v>
      </c>
      <c r="G13" s="529">
        <v>33072</v>
      </c>
      <c r="H13" s="529">
        <v>43016</v>
      </c>
      <c r="I13" s="302">
        <v>56801</v>
      </c>
      <c r="J13" s="298">
        <v>53686</v>
      </c>
      <c r="K13" s="298">
        <v>60447</v>
      </c>
      <c r="L13" s="298">
        <v>56588</v>
      </c>
      <c r="M13" s="298">
        <v>74990</v>
      </c>
      <c r="N13" s="246">
        <v>74727</v>
      </c>
      <c r="O13" s="302">
        <v>67907</v>
      </c>
      <c r="P13" s="302">
        <v>54960</v>
      </c>
      <c r="Q13" s="302">
        <v>70996</v>
      </c>
      <c r="R13" s="99"/>
      <c r="S13" s="317">
        <f t="shared" si="0"/>
        <v>169628</v>
      </c>
      <c r="T13" s="400">
        <f t="shared" si="0"/>
        <v>245711</v>
      </c>
      <c r="U13" s="30">
        <f aca="true" t="shared" si="1" ref="U13:U32">S13-T13</f>
        <v>-76083</v>
      </c>
      <c r="V13" s="29">
        <f aca="true" t="shared" si="2" ref="V13:V32">U13/T13</f>
        <v>-0.30964425687087677</v>
      </c>
      <c r="W13" s="92"/>
      <c r="X13" s="287">
        <f>F13+G13+H13+I13</f>
        <v>169628</v>
      </c>
      <c r="Y13" s="287">
        <v>245711</v>
      </c>
      <c r="Z13" s="287">
        <v>268590</v>
      </c>
      <c r="AA13" s="42">
        <v>223925</v>
      </c>
      <c r="AB13" s="42">
        <v>178176</v>
      </c>
      <c r="AC13" s="42">
        <v>175983</v>
      </c>
      <c r="AD13" s="233"/>
      <c r="AE13" s="233"/>
      <c r="AI13" s="3"/>
    </row>
    <row r="14" spans="1:35" ht="12.75" customHeight="1">
      <c r="A14" s="7"/>
      <c r="B14" s="92" t="s">
        <v>187</v>
      </c>
      <c r="C14" s="37">
        <f>F14-J14</f>
        <v>-6249</v>
      </c>
      <c r="D14" s="29">
        <f>C14/J14</f>
        <v>-0.5671628244690506</v>
      </c>
      <c r="E14" s="40"/>
      <c r="F14" s="575">
        <f>'5 Other'!F12</f>
        <v>4769</v>
      </c>
      <c r="G14" s="529">
        <v>4406</v>
      </c>
      <c r="H14" s="529">
        <v>8649</v>
      </c>
      <c r="I14" s="302">
        <v>10062</v>
      </c>
      <c r="J14" s="298">
        <v>11018</v>
      </c>
      <c r="K14" s="298">
        <v>12605</v>
      </c>
      <c r="L14" s="298">
        <v>12383</v>
      </c>
      <c r="M14" s="298">
        <v>14764</v>
      </c>
      <c r="N14" s="246">
        <v>10416</v>
      </c>
      <c r="O14" s="302">
        <v>8017</v>
      </c>
      <c r="P14" s="302">
        <v>6975</v>
      </c>
      <c r="Q14" s="302">
        <v>8665</v>
      </c>
      <c r="R14" s="99"/>
      <c r="S14" s="317">
        <f t="shared" si="0"/>
        <v>27886</v>
      </c>
      <c r="T14" s="400">
        <f t="shared" si="0"/>
        <v>50770</v>
      </c>
      <c r="U14" s="30">
        <f t="shared" si="1"/>
        <v>-22884</v>
      </c>
      <c r="V14" s="29">
        <f t="shared" si="2"/>
        <v>-0.45073862517234586</v>
      </c>
      <c r="W14" s="92"/>
      <c r="X14" s="287">
        <f>F14+G14+H14+I14</f>
        <v>27886</v>
      </c>
      <c r="Y14" s="287">
        <v>50770</v>
      </c>
      <c r="Z14" s="287">
        <v>34578</v>
      </c>
      <c r="AA14" s="42">
        <v>24555</v>
      </c>
      <c r="AB14" s="42">
        <v>14948</v>
      </c>
      <c r="AC14" s="42">
        <v>14416</v>
      </c>
      <c r="AD14" s="233"/>
      <c r="AE14" s="233"/>
      <c r="AI14" s="3"/>
    </row>
    <row r="15" spans="1:35" ht="12.75" customHeight="1">
      <c r="A15" s="8"/>
      <c r="B15" s="7"/>
      <c r="C15" s="254">
        <f>F15-J15</f>
        <v>-31653</v>
      </c>
      <c r="D15" s="255">
        <f>C15/J15</f>
        <v>-0.3030822409682392</v>
      </c>
      <c r="E15" s="40"/>
      <c r="F15" s="264">
        <f>SUM(F12:F14)</f>
        <v>72784</v>
      </c>
      <c r="G15" s="306">
        <f>SUM(G12:G14)</f>
        <v>57907</v>
      </c>
      <c r="H15" s="306">
        <f>SUM(H12:H14)</f>
        <v>80775</v>
      </c>
      <c r="I15" s="306">
        <f aca="true" t="shared" si="3" ref="I15:N15">SUM(I12:I14)</f>
        <v>108898</v>
      </c>
      <c r="J15" s="264">
        <f t="shared" si="3"/>
        <v>104437</v>
      </c>
      <c r="K15" s="306">
        <f t="shared" si="3"/>
        <v>125130</v>
      </c>
      <c r="L15" s="306">
        <f t="shared" si="3"/>
        <v>117358</v>
      </c>
      <c r="M15" s="306">
        <f t="shared" si="3"/>
        <v>162141</v>
      </c>
      <c r="N15" s="264">
        <f t="shared" si="3"/>
        <v>153624</v>
      </c>
      <c r="O15" s="307">
        <v>134705</v>
      </c>
      <c r="P15" s="307">
        <v>108408</v>
      </c>
      <c r="Q15" s="307">
        <v>133250</v>
      </c>
      <c r="R15" s="99"/>
      <c r="S15" s="402">
        <f t="shared" si="0"/>
        <v>320364</v>
      </c>
      <c r="T15" s="403">
        <f t="shared" si="0"/>
        <v>509066</v>
      </c>
      <c r="U15" s="413">
        <f t="shared" si="1"/>
        <v>-188702</v>
      </c>
      <c r="V15" s="255">
        <f t="shared" si="2"/>
        <v>-0.3706827798360134</v>
      </c>
      <c r="W15" s="92"/>
      <c r="X15" s="288">
        <f>SUM(X12:X14)</f>
        <v>320364</v>
      </c>
      <c r="Y15" s="288">
        <f>SUM(Y12:Y14)</f>
        <v>509066</v>
      </c>
      <c r="Z15" s="288">
        <f>SUM(Z12:Z14)</f>
        <v>530492</v>
      </c>
      <c r="AA15" s="288">
        <f>SUM(AA12:AA14)</f>
        <v>437554</v>
      </c>
      <c r="AB15" s="288">
        <f>SUM(AB12:AB14)</f>
        <v>316688</v>
      </c>
      <c r="AC15" s="369">
        <v>317668</v>
      </c>
      <c r="AD15" s="233"/>
      <c r="AE15" s="233"/>
      <c r="AI15" s="3"/>
    </row>
    <row r="16" spans="1:35" ht="12.75" customHeight="1">
      <c r="A16" s="227" t="s">
        <v>5</v>
      </c>
      <c r="B16" s="7"/>
      <c r="C16" s="37"/>
      <c r="D16" s="29"/>
      <c r="E16" s="40"/>
      <c r="F16" s="588"/>
      <c r="G16" s="529"/>
      <c r="H16" s="529"/>
      <c r="I16" s="302"/>
      <c r="J16" s="310"/>
      <c r="K16" s="298"/>
      <c r="L16" s="298"/>
      <c r="M16" s="298"/>
      <c r="N16" s="246"/>
      <c r="O16" s="302"/>
      <c r="P16" s="302"/>
      <c r="Q16" s="302"/>
      <c r="R16" s="99"/>
      <c r="S16" s="317"/>
      <c r="T16" s="400"/>
      <c r="U16" s="30"/>
      <c r="V16" s="29"/>
      <c r="W16" s="92"/>
      <c r="X16" s="289"/>
      <c r="Y16" s="287"/>
      <c r="Z16" s="287"/>
      <c r="AA16" s="42"/>
      <c r="AB16" s="42"/>
      <c r="AC16" s="42"/>
      <c r="AD16" s="233"/>
      <c r="AE16" s="233"/>
      <c r="AI16" s="3"/>
    </row>
    <row r="17" spans="1:35" ht="12.75" customHeight="1">
      <c r="A17" s="8"/>
      <c r="B17" s="92" t="s">
        <v>188</v>
      </c>
      <c r="C17" s="37">
        <f aca="true" t="shared" si="4" ref="C17:C32">F17-J17</f>
        <v>-12588</v>
      </c>
      <c r="D17" s="29">
        <f aca="true" t="shared" si="5" ref="D17:D32">C17/J17</f>
        <v>-0.29774350726145987</v>
      </c>
      <c r="E17" s="40"/>
      <c r="F17" s="575">
        <v>29690</v>
      </c>
      <c r="G17" s="529">
        <v>28216</v>
      </c>
      <c r="H17" s="529">
        <v>35846</v>
      </c>
      <c r="I17" s="302">
        <v>52312</v>
      </c>
      <c r="J17" s="260">
        <v>42278</v>
      </c>
      <c r="K17" s="298">
        <v>58353</v>
      </c>
      <c r="L17" s="298">
        <v>52413</v>
      </c>
      <c r="M17" s="298">
        <v>78677</v>
      </c>
      <c r="N17" s="246">
        <v>77445</v>
      </c>
      <c r="O17" s="302">
        <v>67818</v>
      </c>
      <c r="P17" s="302">
        <v>52505</v>
      </c>
      <c r="Q17" s="302">
        <v>65428</v>
      </c>
      <c r="R17" s="99"/>
      <c r="S17" s="317">
        <f aca="true" t="shared" si="6" ref="S17:S32">X17</f>
        <v>146064</v>
      </c>
      <c r="T17" s="400">
        <f aca="true" t="shared" si="7" ref="T17:T32">Y17</f>
        <v>231721</v>
      </c>
      <c r="U17" s="30">
        <f t="shared" si="1"/>
        <v>-85657</v>
      </c>
      <c r="V17" s="29">
        <f t="shared" si="2"/>
        <v>-0.36965574980256427</v>
      </c>
      <c r="W17" s="92"/>
      <c r="X17" s="287">
        <f aca="true" t="shared" si="8" ref="X17:X30">F17+G17+H17+I17</f>
        <v>146064</v>
      </c>
      <c r="Y17" s="287">
        <v>231721</v>
      </c>
      <c r="Z17" s="287">
        <v>263196</v>
      </c>
      <c r="AA17" s="42">
        <v>221165</v>
      </c>
      <c r="AB17" s="42">
        <v>154427</v>
      </c>
      <c r="AC17" s="42">
        <v>164826</v>
      </c>
      <c r="AD17" s="233"/>
      <c r="AE17" s="233"/>
      <c r="AI17" s="3"/>
    </row>
    <row r="18" spans="1:35" ht="12.75" customHeight="1">
      <c r="A18" s="8"/>
      <c r="B18" s="92" t="s">
        <v>142</v>
      </c>
      <c r="C18" s="37">
        <f t="shared" si="4"/>
        <v>-595</v>
      </c>
      <c r="D18" s="29">
        <f t="shared" si="5"/>
        <v>-0.047972264774651295</v>
      </c>
      <c r="E18" s="40"/>
      <c r="F18" s="575">
        <f>11809-1</f>
        <v>11808</v>
      </c>
      <c r="G18" s="529">
        <v>10244</v>
      </c>
      <c r="H18" s="529">
        <v>11347</v>
      </c>
      <c r="I18" s="302">
        <v>12594</v>
      </c>
      <c r="J18" s="260">
        <v>12403</v>
      </c>
      <c r="K18" s="298">
        <v>10559</v>
      </c>
      <c r="L18" s="298">
        <v>10399</v>
      </c>
      <c r="M18" s="298">
        <v>11856</v>
      </c>
      <c r="N18" s="246">
        <v>11055</v>
      </c>
      <c r="O18" s="302">
        <v>9161</v>
      </c>
      <c r="P18" s="302">
        <v>9102</v>
      </c>
      <c r="Q18" s="302">
        <v>10041</v>
      </c>
      <c r="R18" s="99"/>
      <c r="S18" s="317">
        <f t="shared" si="6"/>
        <v>45993</v>
      </c>
      <c r="T18" s="400">
        <f t="shared" si="7"/>
        <v>45217</v>
      </c>
      <c r="U18" s="30">
        <f t="shared" si="1"/>
        <v>776</v>
      </c>
      <c r="V18" s="29">
        <f t="shared" si="2"/>
        <v>0.017161686976137295</v>
      </c>
      <c r="W18" s="92"/>
      <c r="X18" s="287">
        <f t="shared" si="8"/>
        <v>45993</v>
      </c>
      <c r="Y18" s="287">
        <v>45217</v>
      </c>
      <c r="Z18" s="287">
        <v>39359</v>
      </c>
      <c r="AA18" s="42">
        <v>37196</v>
      </c>
      <c r="AB18" s="42">
        <v>36920</v>
      </c>
      <c r="AC18" s="42">
        <v>31335</v>
      </c>
      <c r="AD18" s="233"/>
      <c r="AE18" s="233"/>
      <c r="AI18" s="3"/>
    </row>
    <row r="19" spans="1:35" ht="12.75" customHeight="1">
      <c r="A19" s="8"/>
      <c r="B19" s="92" t="s">
        <v>189</v>
      </c>
      <c r="C19" s="37">
        <f t="shared" si="4"/>
        <v>505</v>
      </c>
      <c r="D19" s="29">
        <f t="shared" si="5"/>
        <v>0.15043193327375634</v>
      </c>
      <c r="E19" s="40"/>
      <c r="F19" s="575">
        <v>3862</v>
      </c>
      <c r="G19" s="529">
        <v>4063</v>
      </c>
      <c r="H19" s="529">
        <v>3347</v>
      </c>
      <c r="I19" s="302">
        <v>3325</v>
      </c>
      <c r="J19" s="260">
        <v>3357</v>
      </c>
      <c r="K19" s="298">
        <v>4334</v>
      </c>
      <c r="L19" s="298">
        <v>4309</v>
      </c>
      <c r="M19" s="298">
        <v>4262</v>
      </c>
      <c r="N19" s="246">
        <v>4096</v>
      </c>
      <c r="O19" s="302">
        <v>3153</v>
      </c>
      <c r="P19" s="302">
        <v>3830</v>
      </c>
      <c r="Q19" s="302">
        <v>5904</v>
      </c>
      <c r="R19" s="99"/>
      <c r="S19" s="317">
        <f t="shared" si="6"/>
        <v>14597</v>
      </c>
      <c r="T19" s="400">
        <f t="shared" si="7"/>
        <v>16262</v>
      </c>
      <c r="U19" s="30">
        <f t="shared" si="1"/>
        <v>-1665</v>
      </c>
      <c r="V19" s="29">
        <f t="shared" si="2"/>
        <v>-0.10238593038986595</v>
      </c>
      <c r="W19" s="92"/>
      <c r="X19" s="287">
        <f t="shared" si="8"/>
        <v>14597</v>
      </c>
      <c r="Y19" s="287">
        <v>16262</v>
      </c>
      <c r="Z19" s="287">
        <v>16983</v>
      </c>
      <c r="AA19" s="42">
        <v>17399</v>
      </c>
      <c r="AB19" s="42">
        <v>15700</v>
      </c>
      <c r="AC19" s="42">
        <v>16193</v>
      </c>
      <c r="AD19" s="233"/>
      <c r="AE19" s="233"/>
      <c r="AI19" s="3"/>
    </row>
    <row r="20" spans="1:35" ht="12.75" customHeight="1">
      <c r="A20" s="8"/>
      <c r="B20" s="92" t="s">
        <v>144</v>
      </c>
      <c r="C20" s="37">
        <f t="shared" si="4"/>
        <v>329</v>
      </c>
      <c r="D20" s="29">
        <f t="shared" si="5"/>
        <v>0.08813286900616127</v>
      </c>
      <c r="E20" s="40"/>
      <c r="F20" s="575">
        <f>4061+1</f>
        <v>4062</v>
      </c>
      <c r="G20" s="529">
        <v>4010</v>
      </c>
      <c r="H20" s="529">
        <v>3660</v>
      </c>
      <c r="I20" s="302">
        <v>3721</v>
      </c>
      <c r="J20" s="260">
        <v>3733</v>
      </c>
      <c r="K20" s="298">
        <v>3630</v>
      </c>
      <c r="L20" s="298">
        <v>3659</v>
      </c>
      <c r="M20" s="298">
        <v>3478</v>
      </c>
      <c r="N20" s="246">
        <v>3407</v>
      </c>
      <c r="O20" s="302">
        <v>3507</v>
      </c>
      <c r="P20" s="302">
        <v>3794</v>
      </c>
      <c r="Q20" s="302">
        <v>3821</v>
      </c>
      <c r="R20" s="99"/>
      <c r="S20" s="317">
        <f t="shared" si="6"/>
        <v>15453</v>
      </c>
      <c r="T20" s="400">
        <f t="shared" si="7"/>
        <v>14500</v>
      </c>
      <c r="U20" s="30">
        <f t="shared" si="1"/>
        <v>953</v>
      </c>
      <c r="V20" s="29">
        <f t="shared" si="2"/>
        <v>0.06572413793103449</v>
      </c>
      <c r="W20" s="92"/>
      <c r="X20" s="287">
        <f t="shared" si="8"/>
        <v>15453</v>
      </c>
      <c r="Y20" s="287">
        <v>14500</v>
      </c>
      <c r="Z20" s="287">
        <v>14529</v>
      </c>
      <c r="AA20" s="42">
        <v>12701</v>
      </c>
      <c r="AB20" s="42">
        <v>9706</v>
      </c>
      <c r="AC20" s="42">
        <v>10444</v>
      </c>
      <c r="AD20" s="233"/>
      <c r="AE20" s="233"/>
      <c r="AI20" s="3"/>
    </row>
    <row r="21" spans="1:35" ht="12.75" customHeight="1">
      <c r="A21" s="8"/>
      <c r="B21" s="92" t="s">
        <v>145</v>
      </c>
      <c r="C21" s="37">
        <f t="shared" si="4"/>
        <v>-203</v>
      </c>
      <c r="D21" s="29">
        <f t="shared" si="5"/>
        <v>-0.045151245551601424</v>
      </c>
      <c r="E21" s="40"/>
      <c r="F21" s="575">
        <v>4293</v>
      </c>
      <c r="G21" s="529">
        <v>4604</v>
      </c>
      <c r="H21" s="529">
        <v>4576</v>
      </c>
      <c r="I21" s="302">
        <v>4647</v>
      </c>
      <c r="J21" s="260">
        <v>4496</v>
      </c>
      <c r="K21" s="298">
        <v>4310</v>
      </c>
      <c r="L21" s="298">
        <v>4532</v>
      </c>
      <c r="M21" s="298">
        <v>4498</v>
      </c>
      <c r="N21" s="246">
        <v>4418</v>
      </c>
      <c r="O21" s="302">
        <v>4199</v>
      </c>
      <c r="P21" s="302">
        <v>4325</v>
      </c>
      <c r="Q21" s="302">
        <v>4019</v>
      </c>
      <c r="R21" s="99"/>
      <c r="S21" s="317">
        <f t="shared" si="6"/>
        <v>18120</v>
      </c>
      <c r="T21" s="400">
        <f t="shared" si="7"/>
        <v>17836</v>
      </c>
      <c r="U21" s="30">
        <f t="shared" si="1"/>
        <v>284</v>
      </c>
      <c r="V21" s="29">
        <f t="shared" si="2"/>
        <v>0.015922852657546536</v>
      </c>
      <c r="W21" s="92"/>
      <c r="X21" s="287">
        <f t="shared" si="8"/>
        <v>18120</v>
      </c>
      <c r="Y21" s="287">
        <v>17836</v>
      </c>
      <c r="Z21" s="287">
        <v>16961</v>
      </c>
      <c r="AA21" s="42">
        <v>14662</v>
      </c>
      <c r="AB21" s="42">
        <v>13001</v>
      </c>
      <c r="AC21" s="42">
        <v>11453</v>
      </c>
      <c r="AD21" s="233"/>
      <c r="AE21" s="233"/>
      <c r="AI21" s="3"/>
    </row>
    <row r="22" spans="1:35" ht="12.75" customHeight="1">
      <c r="A22" s="8"/>
      <c r="B22" s="92" t="s">
        <v>140</v>
      </c>
      <c r="C22" s="37">
        <f t="shared" si="4"/>
        <v>-4702</v>
      </c>
      <c r="D22" s="29">
        <f t="shared" si="5"/>
        <v>-0.9595918367346938</v>
      </c>
      <c r="E22" s="40"/>
      <c r="F22" s="575">
        <v>198</v>
      </c>
      <c r="G22" s="529">
        <v>1663</v>
      </c>
      <c r="H22" s="529">
        <v>2707</v>
      </c>
      <c r="I22" s="302">
        <v>3325</v>
      </c>
      <c r="J22" s="260">
        <v>4900</v>
      </c>
      <c r="K22" s="298">
        <v>6118</v>
      </c>
      <c r="L22" s="298">
        <v>5934</v>
      </c>
      <c r="M22" s="298">
        <v>5847</v>
      </c>
      <c r="N22" s="246">
        <v>5089</v>
      </c>
      <c r="O22" s="302">
        <v>4823</v>
      </c>
      <c r="P22" s="302">
        <v>5321</v>
      </c>
      <c r="Q22" s="302">
        <v>4888</v>
      </c>
      <c r="R22" s="99"/>
      <c r="S22" s="317">
        <f t="shared" si="6"/>
        <v>7893</v>
      </c>
      <c r="T22" s="400">
        <f t="shared" si="7"/>
        <v>22799</v>
      </c>
      <c r="U22" s="30">
        <f t="shared" si="1"/>
        <v>-14906</v>
      </c>
      <c r="V22" s="29">
        <f t="shared" si="2"/>
        <v>-0.6538006052897057</v>
      </c>
      <c r="W22" s="92"/>
      <c r="X22" s="287">
        <f t="shared" si="8"/>
        <v>7893</v>
      </c>
      <c r="Y22" s="287">
        <v>22799</v>
      </c>
      <c r="Z22" s="287">
        <v>20121</v>
      </c>
      <c r="AA22" s="42">
        <v>10820</v>
      </c>
      <c r="AB22" s="42">
        <v>7823</v>
      </c>
      <c r="AC22" s="42">
        <v>3959</v>
      </c>
      <c r="AD22" s="233"/>
      <c r="AE22" s="233"/>
      <c r="AI22" s="3"/>
    </row>
    <row r="23" spans="1:35" ht="12.75" customHeight="1">
      <c r="A23" s="8"/>
      <c r="B23" s="92" t="s">
        <v>146</v>
      </c>
      <c r="C23" s="37">
        <f t="shared" si="4"/>
        <v>-4761</v>
      </c>
      <c r="D23" s="29">
        <f t="shared" si="5"/>
        <v>-0.4448701177350028</v>
      </c>
      <c r="E23" s="40"/>
      <c r="F23" s="575">
        <f>5945-4</f>
        <v>5941</v>
      </c>
      <c r="G23" s="529">
        <v>13192</v>
      </c>
      <c r="H23" s="529">
        <v>10569</v>
      </c>
      <c r="I23" s="302">
        <v>11595</v>
      </c>
      <c r="J23" s="260">
        <v>10702</v>
      </c>
      <c r="K23" s="298">
        <v>12891</v>
      </c>
      <c r="L23" s="298">
        <v>9494</v>
      </c>
      <c r="M23" s="298">
        <v>12158</v>
      </c>
      <c r="N23" s="246">
        <v>8743</v>
      </c>
      <c r="O23" s="302">
        <v>9700</v>
      </c>
      <c r="P23" s="302">
        <v>9574</v>
      </c>
      <c r="Q23" s="302">
        <v>14575</v>
      </c>
      <c r="R23" s="99"/>
      <c r="S23" s="317">
        <f t="shared" si="6"/>
        <v>41297</v>
      </c>
      <c r="T23" s="400">
        <f t="shared" si="7"/>
        <v>45245</v>
      </c>
      <c r="U23" s="30">
        <f t="shared" si="1"/>
        <v>-3948</v>
      </c>
      <c r="V23" s="29">
        <f t="shared" si="2"/>
        <v>-0.0872582605812797</v>
      </c>
      <c r="W23" s="92"/>
      <c r="X23" s="287">
        <f t="shared" si="8"/>
        <v>41297</v>
      </c>
      <c r="Y23" s="287">
        <v>45245</v>
      </c>
      <c r="Z23" s="287">
        <v>42592</v>
      </c>
      <c r="AA23" s="42">
        <v>38066</v>
      </c>
      <c r="AB23" s="42">
        <v>26292</v>
      </c>
      <c r="AC23" s="42">
        <v>21726</v>
      </c>
      <c r="AD23" s="233"/>
      <c r="AE23" s="233"/>
      <c r="AI23" s="3"/>
    </row>
    <row r="24" spans="1:35" ht="12.75" customHeight="1">
      <c r="A24" s="8"/>
      <c r="B24" s="92" t="s">
        <v>147</v>
      </c>
      <c r="C24" s="37">
        <f t="shared" si="4"/>
        <v>-88</v>
      </c>
      <c r="D24" s="29">
        <f t="shared" si="5"/>
        <v>-0.05953991880920163</v>
      </c>
      <c r="E24" s="40"/>
      <c r="F24" s="575">
        <v>1390</v>
      </c>
      <c r="G24" s="529">
        <v>1936</v>
      </c>
      <c r="H24" s="529">
        <v>1372</v>
      </c>
      <c r="I24" s="302">
        <v>1355</v>
      </c>
      <c r="J24" s="260">
        <v>1478</v>
      </c>
      <c r="K24" s="298">
        <v>1452</v>
      </c>
      <c r="L24" s="298">
        <v>1389</v>
      </c>
      <c r="M24" s="298">
        <v>1286</v>
      </c>
      <c r="N24" s="246">
        <v>1349</v>
      </c>
      <c r="O24" s="302">
        <v>1280</v>
      </c>
      <c r="P24" s="302">
        <v>1418</v>
      </c>
      <c r="Q24" s="302">
        <v>1381</v>
      </c>
      <c r="R24" s="99"/>
      <c r="S24" s="317">
        <f t="shared" si="6"/>
        <v>6053</v>
      </c>
      <c r="T24" s="400">
        <f t="shared" si="7"/>
        <v>5605</v>
      </c>
      <c r="U24" s="30">
        <f t="shared" si="1"/>
        <v>448</v>
      </c>
      <c r="V24" s="29">
        <f t="shared" si="2"/>
        <v>0.07992863514719001</v>
      </c>
      <c r="W24" s="92"/>
      <c r="X24" s="287">
        <f t="shared" si="8"/>
        <v>6053</v>
      </c>
      <c r="Y24" s="287">
        <v>5605</v>
      </c>
      <c r="Z24" s="287">
        <v>5428</v>
      </c>
      <c r="AA24" s="42">
        <v>3923</v>
      </c>
      <c r="AB24" s="42">
        <v>2565</v>
      </c>
      <c r="AC24" s="42">
        <v>2849</v>
      </c>
      <c r="AD24" s="233"/>
      <c r="AE24" s="233"/>
      <c r="AI24" s="3"/>
    </row>
    <row r="25" spans="1:35" ht="12.75" customHeight="1">
      <c r="A25" s="7"/>
      <c r="B25" s="92" t="s">
        <v>148</v>
      </c>
      <c r="C25" s="37">
        <f t="shared" si="4"/>
        <v>407</v>
      </c>
      <c r="D25" s="29">
        <f t="shared" si="5"/>
        <v>0.09621749408983452</v>
      </c>
      <c r="E25" s="40"/>
      <c r="F25" s="575">
        <v>4637</v>
      </c>
      <c r="G25" s="529">
        <v>4127</v>
      </c>
      <c r="H25" s="529">
        <v>3304</v>
      </c>
      <c r="I25" s="302">
        <v>3855</v>
      </c>
      <c r="J25" s="260">
        <v>4230</v>
      </c>
      <c r="K25" s="298">
        <v>3260</v>
      </c>
      <c r="L25" s="298">
        <v>3297</v>
      </c>
      <c r="M25" s="298">
        <v>3251</v>
      </c>
      <c r="N25" s="246">
        <v>3137</v>
      </c>
      <c r="O25" s="302">
        <v>3316</v>
      </c>
      <c r="P25" s="302">
        <v>2833</v>
      </c>
      <c r="Q25" s="302">
        <v>2819</v>
      </c>
      <c r="R25" s="99"/>
      <c r="S25" s="317">
        <f t="shared" si="6"/>
        <v>15923</v>
      </c>
      <c r="T25" s="400">
        <f t="shared" si="7"/>
        <v>14038</v>
      </c>
      <c r="U25" s="30">
        <f t="shared" si="1"/>
        <v>1885</v>
      </c>
      <c r="V25" s="29">
        <f t="shared" si="2"/>
        <v>0.1342783872346488</v>
      </c>
      <c r="W25" s="92"/>
      <c r="X25" s="287">
        <f t="shared" si="8"/>
        <v>15923</v>
      </c>
      <c r="Y25" s="287">
        <v>14038</v>
      </c>
      <c r="Z25" s="287">
        <v>12105</v>
      </c>
      <c r="AA25" s="42">
        <v>9243</v>
      </c>
      <c r="AB25" s="42">
        <v>7924</v>
      </c>
      <c r="AC25" s="42">
        <v>8240</v>
      </c>
      <c r="AD25" s="233"/>
      <c r="AE25" s="233"/>
      <c r="AI25" s="3"/>
    </row>
    <row r="26" spans="1:35" ht="12.75" customHeight="1">
      <c r="A26" s="7"/>
      <c r="B26" s="229" t="s">
        <v>190</v>
      </c>
      <c r="C26" s="37">
        <f t="shared" si="4"/>
        <v>0</v>
      </c>
      <c r="D26" s="253">
        <v>0</v>
      </c>
      <c r="E26" s="40"/>
      <c r="F26" s="261">
        <v>0</v>
      </c>
      <c r="G26" s="299">
        <v>0</v>
      </c>
      <c r="H26" s="299">
        <v>0</v>
      </c>
      <c r="I26" s="253">
        <v>0</v>
      </c>
      <c r="J26" s="261">
        <v>0</v>
      </c>
      <c r="K26" s="299">
        <v>0</v>
      </c>
      <c r="L26" s="299">
        <v>0</v>
      </c>
      <c r="M26" s="299">
        <v>0</v>
      </c>
      <c r="N26" s="263">
        <v>0</v>
      </c>
      <c r="O26" s="253">
        <v>0</v>
      </c>
      <c r="P26" s="253">
        <v>0</v>
      </c>
      <c r="Q26" s="253">
        <v>0</v>
      </c>
      <c r="R26" s="99"/>
      <c r="S26" s="261">
        <f t="shared" si="6"/>
        <v>0</v>
      </c>
      <c r="T26" s="299">
        <f t="shared" si="7"/>
        <v>0</v>
      </c>
      <c r="U26" s="299">
        <f t="shared" si="1"/>
        <v>0</v>
      </c>
      <c r="V26" s="253">
        <v>0</v>
      </c>
      <c r="W26" s="92"/>
      <c r="X26" s="290">
        <f t="shared" si="8"/>
        <v>0</v>
      </c>
      <c r="Y26" s="290">
        <v>0</v>
      </c>
      <c r="Z26" s="290">
        <v>0</v>
      </c>
      <c r="AA26" s="42">
        <v>-1633</v>
      </c>
      <c r="AB26" s="42">
        <v>0</v>
      </c>
      <c r="AC26" s="42">
        <v>0</v>
      </c>
      <c r="AD26" s="233"/>
      <c r="AE26" s="233"/>
      <c r="AI26" s="3"/>
    </row>
    <row r="27" spans="1:35" ht="12.75" customHeight="1">
      <c r="A27" s="7"/>
      <c r="B27" s="92" t="s">
        <v>150</v>
      </c>
      <c r="C27" s="37">
        <f t="shared" si="4"/>
        <v>-4172</v>
      </c>
      <c r="D27" s="29" t="s">
        <v>54</v>
      </c>
      <c r="E27" s="40"/>
      <c r="F27" s="261">
        <v>0</v>
      </c>
      <c r="G27" s="299">
        <v>6700</v>
      </c>
      <c r="H27" s="299">
        <v>0</v>
      </c>
      <c r="I27" s="253">
        <v>0</v>
      </c>
      <c r="J27" s="260">
        <v>4172</v>
      </c>
      <c r="K27" s="298">
        <v>4226</v>
      </c>
      <c r="L27" s="298">
        <v>4399</v>
      </c>
      <c r="M27" s="299">
        <v>0</v>
      </c>
      <c r="N27" s="263">
        <v>0</v>
      </c>
      <c r="O27" s="253">
        <v>0</v>
      </c>
      <c r="P27" s="253">
        <v>0</v>
      </c>
      <c r="Q27" s="253">
        <v>0</v>
      </c>
      <c r="R27" s="99"/>
      <c r="S27" s="261">
        <f t="shared" si="6"/>
        <v>6700</v>
      </c>
      <c r="T27" s="400">
        <f t="shared" si="7"/>
        <v>12797</v>
      </c>
      <c r="U27" s="299">
        <f t="shared" si="1"/>
        <v>-6097</v>
      </c>
      <c r="V27" s="29">
        <f t="shared" si="2"/>
        <v>-0.47643979057591623</v>
      </c>
      <c r="W27" s="92"/>
      <c r="X27" s="263">
        <f t="shared" si="8"/>
        <v>6700</v>
      </c>
      <c r="Y27" s="287">
        <v>12797</v>
      </c>
      <c r="Z27" s="290">
        <v>0</v>
      </c>
      <c r="AA27" s="42">
        <v>0</v>
      </c>
      <c r="AB27" s="42">
        <v>0</v>
      </c>
      <c r="AC27" s="42">
        <v>0</v>
      </c>
      <c r="AD27" s="233"/>
      <c r="AE27" s="233"/>
      <c r="AI27" s="3"/>
    </row>
    <row r="28" spans="1:35" ht="12.75" customHeight="1">
      <c r="A28" s="7"/>
      <c r="B28" s="229" t="s">
        <v>281</v>
      </c>
      <c r="C28" s="37">
        <f t="shared" si="4"/>
        <v>-54200</v>
      </c>
      <c r="D28" s="29" t="s">
        <v>54</v>
      </c>
      <c r="E28" s="40"/>
      <c r="F28" s="261">
        <v>0</v>
      </c>
      <c r="G28" s="299">
        <v>5347</v>
      </c>
      <c r="H28" s="299">
        <v>0</v>
      </c>
      <c r="I28" s="253">
        <v>0</v>
      </c>
      <c r="J28" s="260">
        <v>54200</v>
      </c>
      <c r="K28" s="300">
        <v>0</v>
      </c>
      <c r="L28" s="300">
        <v>0</v>
      </c>
      <c r="M28" s="300">
        <v>0</v>
      </c>
      <c r="N28" s="290">
        <v>0</v>
      </c>
      <c r="O28" s="303">
        <v>0</v>
      </c>
      <c r="P28" s="303">
        <v>0</v>
      </c>
      <c r="Q28" s="303">
        <v>0</v>
      </c>
      <c r="R28" s="99"/>
      <c r="S28" s="317">
        <f t="shared" si="6"/>
        <v>5347</v>
      </c>
      <c r="T28" s="300">
        <f t="shared" si="7"/>
        <v>54200</v>
      </c>
      <c r="U28" s="299">
        <f t="shared" si="1"/>
        <v>-48853</v>
      </c>
      <c r="V28" s="29">
        <f t="shared" si="2"/>
        <v>-0.9013468634686347</v>
      </c>
      <c r="W28" s="92"/>
      <c r="X28" s="290">
        <f t="shared" si="8"/>
        <v>5347</v>
      </c>
      <c r="Y28" s="287">
        <v>54200</v>
      </c>
      <c r="Z28" s="290">
        <v>0</v>
      </c>
      <c r="AA28" s="42">
        <v>0</v>
      </c>
      <c r="AB28" s="42">
        <v>0</v>
      </c>
      <c r="AC28" s="42">
        <v>0</v>
      </c>
      <c r="AD28" s="233"/>
      <c r="AE28" s="233"/>
      <c r="AI28" s="3"/>
    </row>
    <row r="29" spans="1:35" ht="12.75" customHeight="1">
      <c r="A29" s="7"/>
      <c r="B29" s="7" t="s">
        <v>279</v>
      </c>
      <c r="C29" s="37">
        <f t="shared" si="4"/>
        <v>0</v>
      </c>
      <c r="D29" s="29">
        <v>0</v>
      </c>
      <c r="E29" s="40"/>
      <c r="F29" s="261">
        <v>0</v>
      </c>
      <c r="G29" s="299">
        <v>3958</v>
      </c>
      <c r="H29" s="299">
        <v>0</v>
      </c>
      <c r="I29" s="253">
        <v>0</v>
      </c>
      <c r="J29" s="261">
        <v>0</v>
      </c>
      <c r="K29" s="300">
        <v>0</v>
      </c>
      <c r="L29" s="300">
        <v>0</v>
      </c>
      <c r="M29" s="300">
        <v>0</v>
      </c>
      <c r="N29" s="290">
        <v>0</v>
      </c>
      <c r="O29" s="303">
        <v>0</v>
      </c>
      <c r="P29" s="303"/>
      <c r="Q29" s="303"/>
      <c r="R29" s="99"/>
      <c r="S29" s="317">
        <f t="shared" si="6"/>
        <v>3958</v>
      </c>
      <c r="T29" s="300">
        <f t="shared" si="7"/>
        <v>0</v>
      </c>
      <c r="U29" s="299">
        <f>S29-T29</f>
        <v>3958</v>
      </c>
      <c r="V29" s="29" t="s">
        <v>54</v>
      </c>
      <c r="W29" s="92"/>
      <c r="X29" s="290">
        <f t="shared" si="8"/>
        <v>3958</v>
      </c>
      <c r="Y29" s="290">
        <v>0</v>
      </c>
      <c r="Z29" s="290">
        <v>0</v>
      </c>
      <c r="AA29" s="290">
        <v>0</v>
      </c>
      <c r="AB29" s="290">
        <v>0</v>
      </c>
      <c r="AC29" s="290">
        <v>0</v>
      </c>
      <c r="AD29" s="233"/>
      <c r="AE29" s="233"/>
      <c r="AI29" s="3"/>
    </row>
    <row r="30" spans="1:35" ht="12.75" customHeight="1">
      <c r="A30" s="8"/>
      <c r="B30" s="7" t="s">
        <v>290</v>
      </c>
      <c r="C30" s="37">
        <f t="shared" si="4"/>
        <v>-3858</v>
      </c>
      <c r="D30" s="29">
        <f t="shared" si="5"/>
        <v>-0.9645</v>
      </c>
      <c r="E30" s="40"/>
      <c r="F30" s="575">
        <v>142</v>
      </c>
      <c r="G30" s="529">
        <v>2623</v>
      </c>
      <c r="H30" s="299">
        <v>0</v>
      </c>
      <c r="I30" s="253">
        <v>0</v>
      </c>
      <c r="J30" s="301">
        <v>4000</v>
      </c>
      <c r="K30" s="300">
        <v>0</v>
      </c>
      <c r="L30" s="300">
        <v>0</v>
      </c>
      <c r="M30" s="300">
        <v>0</v>
      </c>
      <c r="N30" s="290">
        <v>0</v>
      </c>
      <c r="O30" s="303">
        <v>0</v>
      </c>
      <c r="P30" s="302"/>
      <c r="Q30" s="302"/>
      <c r="R30" s="99"/>
      <c r="S30" s="317">
        <f t="shared" si="6"/>
        <v>2765</v>
      </c>
      <c r="T30" s="300">
        <f t="shared" si="7"/>
        <v>4000</v>
      </c>
      <c r="U30" s="30">
        <f t="shared" si="1"/>
        <v>-1235</v>
      </c>
      <c r="V30" s="29">
        <f t="shared" si="2"/>
        <v>-0.30875</v>
      </c>
      <c r="W30" s="92"/>
      <c r="X30" s="290">
        <f t="shared" si="8"/>
        <v>2765</v>
      </c>
      <c r="Y30" s="290">
        <v>4000</v>
      </c>
      <c r="Z30" s="290">
        <v>0</v>
      </c>
      <c r="AA30" s="290">
        <v>0</v>
      </c>
      <c r="AB30" s="290">
        <v>0</v>
      </c>
      <c r="AC30" s="290">
        <v>0</v>
      </c>
      <c r="AD30" s="233"/>
      <c r="AE30" s="233"/>
      <c r="AI30" s="3"/>
    </row>
    <row r="31" spans="1:35" ht="12.75" customHeight="1">
      <c r="A31" s="8"/>
      <c r="B31" s="7"/>
      <c r="C31" s="254">
        <f t="shared" si="4"/>
        <v>-83926</v>
      </c>
      <c r="D31" s="255">
        <f t="shared" si="5"/>
        <v>-0.5596969636343023</v>
      </c>
      <c r="E31" s="40"/>
      <c r="F31" s="264">
        <f>SUM(F17:F30)</f>
        <v>66023</v>
      </c>
      <c r="G31" s="306">
        <v>90683</v>
      </c>
      <c r="H31" s="306">
        <v>76728</v>
      </c>
      <c r="I31" s="307">
        <v>96729</v>
      </c>
      <c r="J31" s="264">
        <v>149949</v>
      </c>
      <c r="K31" s="306">
        <v>109133</v>
      </c>
      <c r="L31" s="306">
        <v>99825</v>
      </c>
      <c r="M31" s="306">
        <v>125313</v>
      </c>
      <c r="N31" s="256">
        <v>118739</v>
      </c>
      <c r="O31" s="307">
        <v>106957</v>
      </c>
      <c r="P31" s="307">
        <v>92702</v>
      </c>
      <c r="Q31" s="307">
        <v>112876</v>
      </c>
      <c r="R31" s="99"/>
      <c r="S31" s="402">
        <f t="shared" si="6"/>
        <v>330163</v>
      </c>
      <c r="T31" s="403">
        <f t="shared" si="7"/>
        <v>484220</v>
      </c>
      <c r="U31" s="413">
        <f t="shared" si="1"/>
        <v>-154057</v>
      </c>
      <c r="V31" s="255">
        <f t="shared" si="2"/>
        <v>-0.31815497088100453</v>
      </c>
      <c r="W31" s="92"/>
      <c r="X31" s="288">
        <f>SUM(X17:X30)</f>
        <v>330163</v>
      </c>
      <c r="Y31" s="288">
        <v>484220</v>
      </c>
      <c r="Z31" s="288">
        <v>431274</v>
      </c>
      <c r="AA31" s="369">
        <v>363542</v>
      </c>
      <c r="AB31" s="369">
        <v>274358</v>
      </c>
      <c r="AC31" s="369">
        <v>271025</v>
      </c>
      <c r="AD31" s="233"/>
      <c r="AE31" s="233"/>
      <c r="AI31" s="3"/>
    </row>
    <row r="32" spans="1:35" s="106" customFormat="1" ht="12.75" customHeight="1" thickBot="1">
      <c r="A32" s="228" t="s">
        <v>151</v>
      </c>
      <c r="B32" s="227"/>
      <c r="C32" s="538">
        <f t="shared" si="4"/>
        <v>52273</v>
      </c>
      <c r="D32" s="268">
        <f t="shared" si="5"/>
        <v>-1.148554227456495</v>
      </c>
      <c r="E32" s="40"/>
      <c r="F32" s="589">
        <f>F15-F31</f>
        <v>6761</v>
      </c>
      <c r="G32" s="308">
        <f aca="true" t="shared" si="9" ref="G32:Q32">G15-G31</f>
        <v>-32776</v>
      </c>
      <c r="H32" s="308">
        <f t="shared" si="9"/>
        <v>4047</v>
      </c>
      <c r="I32" s="541">
        <f t="shared" si="9"/>
        <v>12169</v>
      </c>
      <c r="J32" s="589">
        <f t="shared" si="9"/>
        <v>-45512</v>
      </c>
      <c r="K32" s="308">
        <f t="shared" si="9"/>
        <v>15997</v>
      </c>
      <c r="L32" s="308">
        <f t="shared" si="9"/>
        <v>17533</v>
      </c>
      <c r="M32" s="541">
        <f t="shared" si="9"/>
        <v>36828</v>
      </c>
      <c r="N32" s="269">
        <f t="shared" si="9"/>
        <v>34885</v>
      </c>
      <c r="O32" s="589">
        <f t="shared" si="9"/>
        <v>27748</v>
      </c>
      <c r="P32" s="589">
        <f t="shared" si="9"/>
        <v>15706</v>
      </c>
      <c r="Q32" s="589">
        <f t="shared" si="9"/>
        <v>20374</v>
      </c>
      <c r="R32" s="298"/>
      <c r="S32" s="405">
        <f t="shared" si="6"/>
        <v>-9799</v>
      </c>
      <c r="T32" s="405">
        <f t="shared" si="7"/>
        <v>24846</v>
      </c>
      <c r="U32" s="538">
        <f t="shared" si="1"/>
        <v>-34645</v>
      </c>
      <c r="V32" s="268">
        <f t="shared" si="2"/>
        <v>-1.3943894389438944</v>
      </c>
      <c r="W32" s="92"/>
      <c r="X32" s="589">
        <f>X15-X31</f>
        <v>-9799</v>
      </c>
      <c r="Y32" s="589">
        <f>Y15-Y31</f>
        <v>24846</v>
      </c>
      <c r="Z32" s="589">
        <f>Z15-Z31</f>
        <v>99218</v>
      </c>
      <c r="AA32" s="589">
        <f>AA15-AA31</f>
        <v>74012</v>
      </c>
      <c r="AB32" s="269">
        <f>AB15-AB31</f>
        <v>42330</v>
      </c>
      <c r="AC32" s="389">
        <v>46643</v>
      </c>
      <c r="AD32" s="233"/>
      <c r="AE32" s="461"/>
      <c r="AI32" s="296"/>
    </row>
    <row r="33" spans="1:35" ht="12.75" customHeight="1" thickTop="1">
      <c r="A33" s="229"/>
      <c r="B33" s="229"/>
      <c r="C33" s="30"/>
      <c r="D33" s="40"/>
      <c r="E33" s="40"/>
      <c r="F33" s="40"/>
      <c r="G33" s="40"/>
      <c r="H33" s="40"/>
      <c r="I33" s="233"/>
      <c r="J33" s="92"/>
      <c r="K33" s="92"/>
      <c r="L33" s="92"/>
      <c r="M33" s="92"/>
      <c r="N33" s="272"/>
      <c r="O33" s="272"/>
      <c r="P33" s="272"/>
      <c r="Q33" s="272"/>
      <c r="R33" s="233"/>
      <c r="S33" s="233"/>
      <c r="T33" s="233"/>
      <c r="U33" s="30"/>
      <c r="V33" s="40"/>
      <c r="W33" s="233"/>
      <c r="X33" s="233"/>
      <c r="Y33" s="30"/>
      <c r="Z33" s="30"/>
      <c r="AA33" s="30"/>
      <c r="AB33" s="30"/>
      <c r="AC33" s="30"/>
      <c r="AD33" s="233"/>
      <c r="AE33" s="233"/>
      <c r="AI33" s="3"/>
    </row>
    <row r="34" spans="1:35" ht="12.75" customHeight="1">
      <c r="A34" s="229"/>
      <c r="B34" s="229"/>
      <c r="C34" s="30"/>
      <c r="D34" s="40"/>
      <c r="E34" s="40"/>
      <c r="F34" s="40"/>
      <c r="G34" s="40"/>
      <c r="H34" s="40"/>
      <c r="I34" s="233"/>
      <c r="J34" s="92"/>
      <c r="K34" s="92"/>
      <c r="L34" s="92"/>
      <c r="M34" s="92"/>
      <c r="N34" s="272"/>
      <c r="O34" s="272"/>
      <c r="P34" s="272"/>
      <c r="Q34" s="272"/>
      <c r="R34" s="233"/>
      <c r="S34" s="233"/>
      <c r="T34" s="233"/>
      <c r="U34" s="30"/>
      <c r="V34" s="40"/>
      <c r="W34" s="233"/>
      <c r="X34" s="233"/>
      <c r="Y34" s="30"/>
      <c r="Z34" s="30"/>
      <c r="AA34" s="30"/>
      <c r="AB34" s="30"/>
      <c r="AC34" s="30"/>
      <c r="AD34" s="233"/>
      <c r="AE34" s="233"/>
      <c r="AI34" s="3"/>
    </row>
    <row r="35" spans="1:35" ht="12.75" customHeight="1">
      <c r="A35" s="230" t="s">
        <v>153</v>
      </c>
      <c r="B35" s="231"/>
      <c r="C35" s="247">
        <f>(F35-J35)*100</f>
        <v>0.29193229281160304</v>
      </c>
      <c r="D35" s="40"/>
      <c r="E35" s="40"/>
      <c r="F35" s="273">
        <f>F17/F15</f>
        <v>0.40791932292811606</v>
      </c>
      <c r="G35" s="273">
        <v>0.4877104435302658</v>
      </c>
      <c r="H35" s="273">
        <v>0.44391331269349843</v>
      </c>
      <c r="I35" s="273">
        <v>0.48046437296790906</v>
      </c>
      <c r="J35" s="34">
        <v>0.405</v>
      </c>
      <c r="K35" s="34">
        <v>0.466</v>
      </c>
      <c r="L35" s="34">
        <v>0.447</v>
      </c>
      <c r="M35" s="34">
        <v>0.485</v>
      </c>
      <c r="N35" s="34">
        <v>0.504</v>
      </c>
      <c r="O35" s="34">
        <v>0.503</v>
      </c>
      <c r="P35" s="34">
        <v>0.484</v>
      </c>
      <c r="Q35" s="34">
        <v>0.491</v>
      </c>
      <c r="R35" s="233"/>
      <c r="S35" s="276">
        <f aca="true" t="shared" si="10" ref="S35:T39">X35</f>
        <v>0.45593137805745965</v>
      </c>
      <c r="T35" s="273">
        <f t="shared" si="10"/>
        <v>0.4553548970287691</v>
      </c>
      <c r="U35" s="247">
        <f>(S35-T35)*100</f>
        <v>0.05764810286905675</v>
      </c>
      <c r="V35" s="40"/>
      <c r="W35" s="233"/>
      <c r="X35" s="34">
        <f>X17/X15</f>
        <v>0.45593137805745965</v>
      </c>
      <c r="Y35" s="34">
        <v>0.4553548970287691</v>
      </c>
      <c r="Z35" s="34">
        <v>0.497</v>
      </c>
      <c r="AA35" s="372">
        <v>0.506</v>
      </c>
      <c r="AB35" s="372">
        <v>0.488</v>
      </c>
      <c r="AC35" s="372">
        <v>0.519</v>
      </c>
      <c r="AD35" s="233"/>
      <c r="AE35" s="233"/>
      <c r="AI35" s="3"/>
    </row>
    <row r="36" spans="1:35" ht="12.75" customHeight="1">
      <c r="A36" s="230" t="s">
        <v>154</v>
      </c>
      <c r="B36" s="231"/>
      <c r="C36" s="247">
        <f>(F36-J36)*100</f>
        <v>4.615278083095187</v>
      </c>
      <c r="D36" s="40"/>
      <c r="E36" s="40"/>
      <c r="F36" s="273">
        <f>(F17+F18)/F15</f>
        <v>0.5701527808309519</v>
      </c>
      <c r="G36" s="273">
        <v>0.6647768520759152</v>
      </c>
      <c r="H36" s="273">
        <v>0.5844334365325078</v>
      </c>
      <c r="I36" s="273">
        <v>0.5961351237164533</v>
      </c>
      <c r="J36" s="34">
        <v>0.524</v>
      </c>
      <c r="K36" s="34">
        <v>0.551</v>
      </c>
      <c r="L36" s="34">
        <v>0.536</v>
      </c>
      <c r="M36" s="34">
        <v>0.559</v>
      </c>
      <c r="N36" s="34">
        <v>0.576</v>
      </c>
      <c r="O36" s="34">
        <v>0.571</v>
      </c>
      <c r="P36" s="34">
        <v>0.568</v>
      </c>
      <c r="Q36" s="34">
        <v>0.566</v>
      </c>
      <c r="R36" s="233"/>
      <c r="S36" s="276">
        <f t="shared" si="10"/>
        <v>0.59949619807469</v>
      </c>
      <c r="T36" s="273">
        <f t="shared" si="10"/>
        <v>0.5442108159094482</v>
      </c>
      <c r="U36" s="247">
        <f>(S36-T36)*100+0.01</f>
        <v>5.538538216524181</v>
      </c>
      <c r="V36" s="40"/>
      <c r="W36" s="233"/>
      <c r="X36" s="34">
        <f>(X17+X18)/X15</f>
        <v>0.59949619807469</v>
      </c>
      <c r="Y36" s="34">
        <v>0.5442108159094482</v>
      </c>
      <c r="Z36" s="34">
        <v>0.571</v>
      </c>
      <c r="AA36" s="372">
        <v>0.591</v>
      </c>
      <c r="AB36" s="372">
        <v>0.604</v>
      </c>
      <c r="AC36" s="372">
        <v>0.618</v>
      </c>
      <c r="AD36" s="233"/>
      <c r="AE36" s="233"/>
      <c r="AI36" s="3"/>
    </row>
    <row r="37" spans="1:35" ht="12.75" customHeight="1">
      <c r="A37" s="230" t="s">
        <v>155</v>
      </c>
      <c r="B37" s="231"/>
      <c r="C37" s="247">
        <f>(F37-J37)*100</f>
        <v>-57.504407562101555</v>
      </c>
      <c r="D37" s="40"/>
      <c r="E37" s="40"/>
      <c r="F37" s="273">
        <f>(F19+F20+F21+F22+F23+F24+F25+F26+F27+F28+F29+F30)/F15</f>
        <v>0.3369559243789844</v>
      </c>
      <c r="G37" s="273">
        <v>0.9026687869464514</v>
      </c>
      <c r="H37" s="273">
        <v>0.3657585139318885</v>
      </c>
      <c r="I37" s="273">
        <v>0.2922812689432209</v>
      </c>
      <c r="J37" s="34">
        <v>0.9119999999999999</v>
      </c>
      <c r="K37" s="34">
        <v>0.32099999999999995</v>
      </c>
      <c r="L37" s="34">
        <v>0.315</v>
      </c>
      <c r="M37" s="34">
        <v>0.21399999999999997</v>
      </c>
      <c r="N37" s="34">
        <v>0.19700000000000006</v>
      </c>
      <c r="O37" s="34">
        <v>0.2230000000000001</v>
      </c>
      <c r="P37" s="34">
        <v>0.28700000000000003</v>
      </c>
      <c r="Q37" s="34">
        <v>0.281</v>
      </c>
      <c r="R37" s="233"/>
      <c r="S37" s="276">
        <f t="shared" si="10"/>
        <v>0.4310908841193143</v>
      </c>
      <c r="T37" s="273">
        <f t="shared" si="10"/>
        <v>0.4083298223549756</v>
      </c>
      <c r="U37" s="247">
        <f>(S37-T37)*100</f>
        <v>2.2761061764338675</v>
      </c>
      <c r="V37" s="40"/>
      <c r="W37" s="233"/>
      <c r="X37" s="34">
        <f>(X19+X20+X21+X22+X23+X24+X25+X26+X27+X28+X29+X30)/X15</f>
        <v>0.4310908841193143</v>
      </c>
      <c r="Y37" s="34">
        <v>0.4083298223549756</v>
      </c>
      <c r="Z37" s="34">
        <v>0.243</v>
      </c>
      <c r="AA37" s="372">
        <v>0.24</v>
      </c>
      <c r="AB37" s="372">
        <v>0.262</v>
      </c>
      <c r="AC37" s="372">
        <v>0.235</v>
      </c>
      <c r="AD37" s="233"/>
      <c r="AE37" s="233"/>
      <c r="AI37" s="3"/>
    </row>
    <row r="38" spans="1:35" ht="12.75" customHeight="1">
      <c r="A38" s="230" t="s">
        <v>156</v>
      </c>
      <c r="B38" s="230"/>
      <c r="C38" s="247">
        <f>(F38-J38)*100</f>
        <v>-52.88912947900637</v>
      </c>
      <c r="D38" s="40"/>
      <c r="E38" s="40"/>
      <c r="F38" s="273">
        <f>F31/F15</f>
        <v>0.9071087052099363</v>
      </c>
      <c r="G38" s="273">
        <v>1.5674456390223666</v>
      </c>
      <c r="H38" s="273">
        <v>0.9501919504643963</v>
      </c>
      <c r="I38" s="273">
        <v>0.8884163926596741</v>
      </c>
      <c r="J38" s="34">
        <v>1.436</v>
      </c>
      <c r="K38" s="34">
        <v>0.872</v>
      </c>
      <c r="L38" s="34">
        <v>0.851</v>
      </c>
      <c r="M38" s="34">
        <v>0.773</v>
      </c>
      <c r="N38" s="34">
        <v>0.773</v>
      </c>
      <c r="O38" s="34">
        <v>0.794</v>
      </c>
      <c r="P38" s="34">
        <v>0.855</v>
      </c>
      <c r="Q38" s="34">
        <v>0.847</v>
      </c>
      <c r="R38" s="233"/>
      <c r="S38" s="276">
        <f t="shared" si="10"/>
        <v>1.0305870821940044</v>
      </c>
      <c r="T38" s="273">
        <f t="shared" si="10"/>
        <v>0.9515406382644238</v>
      </c>
      <c r="U38" s="247">
        <f>(S38-T38)*100</f>
        <v>7.90464439295806</v>
      </c>
      <c r="V38" s="40"/>
      <c r="W38" s="233"/>
      <c r="X38" s="34">
        <f>X31/X15</f>
        <v>1.0305870821940044</v>
      </c>
      <c r="Y38" s="34">
        <v>0.9515406382644238</v>
      </c>
      <c r="Z38" s="34">
        <v>0.814</v>
      </c>
      <c r="AA38" s="372">
        <v>0.831</v>
      </c>
      <c r="AB38" s="372">
        <v>0.866</v>
      </c>
      <c r="AC38" s="372">
        <v>0.853</v>
      </c>
      <c r="AD38" s="233"/>
      <c r="AE38" s="233"/>
      <c r="AI38" s="3"/>
    </row>
    <row r="39" spans="1:35" ht="12.75" customHeight="1">
      <c r="A39" s="230" t="s">
        <v>157</v>
      </c>
      <c r="B39" s="230"/>
      <c r="C39" s="247">
        <f>(F39-J39)*100</f>
        <v>52.88912947900637</v>
      </c>
      <c r="D39" s="40"/>
      <c r="E39" s="40"/>
      <c r="F39" s="273">
        <f>F32/F15</f>
        <v>0.09289129479006375</v>
      </c>
      <c r="G39" s="273">
        <v>-0.5674456390223667</v>
      </c>
      <c r="H39" s="273">
        <v>0.049808049535603714</v>
      </c>
      <c r="I39" s="273">
        <v>0.11158360734032587</v>
      </c>
      <c r="J39" s="34">
        <v>-0.43599999999999994</v>
      </c>
      <c r="K39" s="34">
        <v>0.128</v>
      </c>
      <c r="L39" s="34">
        <v>0.14900000000000002</v>
      </c>
      <c r="M39" s="34">
        <v>0.22699999999999998</v>
      </c>
      <c r="N39" s="34">
        <v>0.22699999999999998</v>
      </c>
      <c r="O39" s="34">
        <v>0.20599999999999996</v>
      </c>
      <c r="P39" s="34">
        <v>0.145</v>
      </c>
      <c r="Q39" s="34">
        <v>0.15300000000000002</v>
      </c>
      <c r="R39" s="233"/>
      <c r="S39" s="276">
        <f t="shared" si="10"/>
        <v>-0.03058708219400432</v>
      </c>
      <c r="T39" s="273">
        <f t="shared" si="10"/>
        <v>0.04845936173557617</v>
      </c>
      <c r="U39" s="247">
        <f>(S39-T39)*100</f>
        <v>-7.904644392958049</v>
      </c>
      <c r="V39" s="40"/>
      <c r="W39" s="233"/>
      <c r="X39" s="34">
        <f>X32/X15</f>
        <v>-0.03058708219400432</v>
      </c>
      <c r="Y39" s="34">
        <v>0.04845936173557617</v>
      </c>
      <c r="Z39" s="34">
        <v>0.18600000000000005</v>
      </c>
      <c r="AA39" s="372">
        <v>0.16900000000000004</v>
      </c>
      <c r="AB39" s="372">
        <v>0.134</v>
      </c>
      <c r="AC39" s="372">
        <v>0.14700000000000002</v>
      </c>
      <c r="AD39" s="233"/>
      <c r="AE39" s="233"/>
      <c r="AI39" s="3"/>
    </row>
    <row r="40" spans="1:35" ht="12.75" customHeight="1">
      <c r="A40" s="231"/>
      <c r="B40" s="231"/>
      <c r="C40" s="247"/>
      <c r="D40" s="40"/>
      <c r="E40" s="40"/>
      <c r="F40" s="40"/>
      <c r="G40" s="40"/>
      <c r="H40" s="40"/>
      <c r="I40" s="273"/>
      <c r="J40" s="273"/>
      <c r="K40" s="92"/>
      <c r="L40" s="92"/>
      <c r="M40" s="92"/>
      <c r="N40" s="273"/>
      <c r="O40" s="273"/>
      <c r="P40" s="273"/>
      <c r="Q40" s="273"/>
      <c r="R40" s="233"/>
      <c r="S40" s="233"/>
      <c r="T40" s="233"/>
      <c r="U40" s="247"/>
      <c r="V40" s="40"/>
      <c r="W40" s="233"/>
      <c r="X40" s="34"/>
      <c r="Y40" s="34"/>
      <c r="Z40" s="11"/>
      <c r="AA40" s="372"/>
      <c r="AB40" s="372"/>
      <c r="AC40" s="372"/>
      <c r="AD40" s="233"/>
      <c r="AE40" s="233"/>
      <c r="AI40" s="3"/>
    </row>
    <row r="41" spans="1:35" ht="12.75" customHeight="1">
      <c r="A41" s="231" t="s">
        <v>179</v>
      </c>
      <c r="B41" s="231"/>
      <c r="C41" s="252">
        <f>F41-J41</f>
        <v>-130</v>
      </c>
      <c r="D41" s="40">
        <f>C41/J41</f>
        <v>-0.0931899641577061</v>
      </c>
      <c r="E41" s="40"/>
      <c r="F41" s="357">
        <f>'10 Misc Operating Stats'!F15</f>
        <v>1265</v>
      </c>
      <c r="G41" s="357">
        <v>1301</v>
      </c>
      <c r="H41" s="357">
        <v>1385</v>
      </c>
      <c r="I41" s="366">
        <v>1404</v>
      </c>
      <c r="J41" s="366">
        <v>1395</v>
      </c>
      <c r="K41" s="366">
        <v>1399</v>
      </c>
      <c r="L41" s="366">
        <v>1418</v>
      </c>
      <c r="M41" s="366">
        <v>1383</v>
      </c>
      <c r="N41" s="366">
        <v>1334</v>
      </c>
      <c r="O41" s="366">
        <v>1310</v>
      </c>
      <c r="P41" s="366">
        <v>1309</v>
      </c>
      <c r="Q41" s="366">
        <v>1292</v>
      </c>
      <c r="R41" s="233"/>
      <c r="S41" s="415">
        <f>X41</f>
        <v>1265</v>
      </c>
      <c r="T41" s="415">
        <f>Y41</f>
        <v>1395</v>
      </c>
      <c r="U41" s="299">
        <f>S41-T41</f>
        <v>-130</v>
      </c>
      <c r="V41" s="40">
        <f>U41/T41</f>
        <v>-0.0931899641577061</v>
      </c>
      <c r="W41" s="233"/>
      <c r="X41" s="252">
        <f>'10 Misc Operating Stats'!X15</f>
        <v>1265</v>
      </c>
      <c r="Y41" s="252">
        <v>1395</v>
      </c>
      <c r="Z41" s="252">
        <v>1334</v>
      </c>
      <c r="AA41" s="366">
        <v>1257</v>
      </c>
      <c r="AB41" s="366">
        <v>1190</v>
      </c>
      <c r="AC41" s="366">
        <v>1104</v>
      </c>
      <c r="AD41" s="233"/>
      <c r="AE41" s="233"/>
      <c r="AI41" s="3"/>
    </row>
    <row r="42" spans="1:35" ht="12.75" customHeight="1">
      <c r="A42" s="7"/>
      <c r="B42" s="7"/>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366"/>
      <c r="AB42" s="366"/>
      <c r="AC42" s="366"/>
      <c r="AD42" s="233"/>
      <c r="AE42" s="233"/>
      <c r="AI42" s="3"/>
    </row>
    <row r="43" spans="1:35" ht="18" customHeight="1">
      <c r="A43" s="12" t="s">
        <v>280</v>
      </c>
      <c r="B43" s="7"/>
      <c r="C43" s="92"/>
      <c r="D43" s="92"/>
      <c r="E43" s="233"/>
      <c r="F43" s="233"/>
      <c r="G43" s="233"/>
      <c r="H43" s="233"/>
      <c r="I43" s="233"/>
      <c r="J43" s="233"/>
      <c r="K43" s="233"/>
      <c r="L43" s="92"/>
      <c r="M43" s="92"/>
      <c r="N43" s="92"/>
      <c r="O43" s="92"/>
      <c r="P43" s="92"/>
      <c r="Q43" s="92"/>
      <c r="R43" s="92"/>
      <c r="S43" s="233"/>
      <c r="T43" s="233"/>
      <c r="U43" s="233"/>
      <c r="V43" s="233"/>
      <c r="W43" s="92"/>
      <c r="X43" s="92"/>
      <c r="Y43" s="92"/>
      <c r="Z43" s="92"/>
      <c r="AA43" s="371"/>
      <c r="AB43" s="371"/>
      <c r="AC43" s="371"/>
      <c r="AD43" s="233"/>
      <c r="AE43" s="233"/>
      <c r="AI43" s="3"/>
    </row>
    <row r="44" spans="1:35" ht="12.75" customHeight="1">
      <c r="A44" s="279"/>
      <c r="B44" s="7"/>
      <c r="C44" s="92"/>
      <c r="D44" s="92"/>
      <c r="E44" s="233"/>
      <c r="F44" s="532"/>
      <c r="G44" s="233"/>
      <c r="H44" s="233"/>
      <c r="I44" s="233"/>
      <c r="J44" s="233"/>
      <c r="K44" s="233"/>
      <c r="L44" s="92"/>
      <c r="M44" s="92"/>
      <c r="N44" s="92"/>
      <c r="O44" s="92"/>
      <c r="P44" s="92"/>
      <c r="Q44" s="92"/>
      <c r="R44" s="92"/>
      <c r="S44" s="92"/>
      <c r="T44" s="92"/>
      <c r="U44" s="92"/>
      <c r="V44" s="92"/>
      <c r="W44" s="92"/>
      <c r="X44" s="92"/>
      <c r="Y44" s="92"/>
      <c r="Z44" s="92"/>
      <c r="AA44" s="371"/>
      <c r="AB44" s="371"/>
      <c r="AC44" s="371"/>
      <c r="AD44" s="233"/>
      <c r="AE44" s="233"/>
      <c r="AI44" s="3"/>
    </row>
    <row r="45" spans="1:35" ht="12.75" customHeight="1">
      <c r="A45" s="6"/>
      <c r="B45" s="7"/>
      <c r="C45" s="611" t="str">
        <f>C9</f>
        <v>Q4/09 vs. Q4/08</v>
      </c>
      <c r="D45" s="629"/>
      <c r="E45" s="15"/>
      <c r="F45" s="282"/>
      <c r="G45" s="281"/>
      <c r="H45" s="281"/>
      <c r="I45" s="250"/>
      <c r="J45" s="281"/>
      <c r="K45" s="281"/>
      <c r="L45" s="281"/>
      <c r="M45" s="281"/>
      <c r="N45" s="280"/>
      <c r="O45" s="250"/>
      <c r="P45" s="250"/>
      <c r="Q45" s="250"/>
      <c r="R45" s="99"/>
      <c r="S45" s="611" t="str">
        <f>S9</f>
        <v>FY09 vs FY08</v>
      </c>
      <c r="T45" s="640"/>
      <c r="U45" s="640"/>
      <c r="V45" s="641"/>
      <c r="W45" s="15"/>
      <c r="X45" s="98"/>
      <c r="Y45" s="282"/>
      <c r="Z45" s="280"/>
      <c r="AA45" s="98"/>
      <c r="AB45" s="98"/>
      <c r="AC45" s="98"/>
      <c r="AD45" s="233"/>
      <c r="AE45" s="233"/>
      <c r="AI45" s="3"/>
    </row>
    <row r="46" spans="1:35" ht="12.75" customHeight="1">
      <c r="A46" s="6" t="s">
        <v>199</v>
      </c>
      <c r="B46" s="7"/>
      <c r="C46" s="635" t="s">
        <v>51</v>
      </c>
      <c r="D46" s="636"/>
      <c r="E46" s="283"/>
      <c r="F46" s="20" t="s">
        <v>166</v>
      </c>
      <c r="G46" s="21" t="s">
        <v>167</v>
      </c>
      <c r="H46" s="21" t="s">
        <v>168</v>
      </c>
      <c r="I46" s="14" t="s">
        <v>42</v>
      </c>
      <c r="J46" s="21" t="s">
        <v>43</v>
      </c>
      <c r="K46" s="21" t="s">
        <v>44</v>
      </c>
      <c r="L46" s="21" t="s">
        <v>45</v>
      </c>
      <c r="M46" s="21" t="s">
        <v>46</v>
      </c>
      <c r="N46" s="23" t="s">
        <v>47</v>
      </c>
      <c r="O46" s="14" t="s">
        <v>48</v>
      </c>
      <c r="P46" s="14" t="s">
        <v>49</v>
      </c>
      <c r="Q46" s="14" t="s">
        <v>50</v>
      </c>
      <c r="R46" s="345"/>
      <c r="S46" s="318" t="str">
        <f>S10</f>
        <v>FY09</v>
      </c>
      <c r="T46" s="15" t="str">
        <f>T10</f>
        <v>FY08</v>
      </c>
      <c r="U46" s="637" t="s">
        <v>51</v>
      </c>
      <c r="V46" s="638"/>
      <c r="W46" s="283"/>
      <c r="X46" s="20" t="s">
        <v>55</v>
      </c>
      <c r="Y46" s="20" t="s">
        <v>52</v>
      </c>
      <c r="Z46" s="23" t="s">
        <v>53</v>
      </c>
      <c r="AA46" s="23" t="s">
        <v>242</v>
      </c>
      <c r="AB46" s="23" t="s">
        <v>243</v>
      </c>
      <c r="AC46" s="14" t="s">
        <v>249</v>
      </c>
      <c r="AD46" s="233"/>
      <c r="AE46" s="233"/>
      <c r="AI46" s="3"/>
    </row>
    <row r="47" spans="1:35" ht="12.75" customHeight="1">
      <c r="A47" s="232"/>
      <c r="B47" s="233" t="s">
        <v>4</v>
      </c>
      <c r="C47" s="93">
        <f>F47-J47</f>
        <v>-31653</v>
      </c>
      <c r="D47" s="44">
        <f>C47/J47</f>
        <v>-0.3030822409682392</v>
      </c>
      <c r="E47" s="233"/>
      <c r="F47" s="316">
        <f>F15</f>
        <v>72784</v>
      </c>
      <c r="G47" s="400">
        <f aca="true" t="shared" si="11" ref="G47:N47">G15</f>
        <v>57907</v>
      </c>
      <c r="H47" s="400">
        <f t="shared" si="11"/>
        <v>80775</v>
      </c>
      <c r="I47" s="400">
        <f t="shared" si="11"/>
        <v>108898</v>
      </c>
      <c r="J47" s="317">
        <f t="shared" si="11"/>
        <v>104437</v>
      </c>
      <c r="K47" s="400">
        <f t="shared" si="11"/>
        <v>125130</v>
      </c>
      <c r="L47" s="400">
        <f t="shared" si="11"/>
        <v>117358</v>
      </c>
      <c r="M47" s="416">
        <f t="shared" si="11"/>
        <v>162141</v>
      </c>
      <c r="N47" s="316">
        <f t="shared" si="11"/>
        <v>153624</v>
      </c>
      <c r="O47" s="302">
        <v>134705</v>
      </c>
      <c r="P47" s="302">
        <v>108408</v>
      </c>
      <c r="Q47" s="311">
        <v>133250</v>
      </c>
      <c r="R47" s="99"/>
      <c r="S47" s="316">
        <f aca="true" t="shared" si="12" ref="S47:T49">X47</f>
        <v>320364</v>
      </c>
      <c r="T47" s="416">
        <f t="shared" si="12"/>
        <v>509066</v>
      </c>
      <c r="U47" s="417">
        <f>S47-T47</f>
        <v>-188702</v>
      </c>
      <c r="V47" s="418">
        <f>U47/T47</f>
        <v>-0.3706827798360134</v>
      </c>
      <c r="W47" s="92"/>
      <c r="X47" s="265">
        <f>F47+G47+H47+I47</f>
        <v>320364</v>
      </c>
      <c r="Y47" s="316">
        <f>Y15</f>
        <v>509066</v>
      </c>
      <c r="Z47" s="316">
        <f>Z15</f>
        <v>530492</v>
      </c>
      <c r="AA47" s="316">
        <f>AA15</f>
        <v>437554</v>
      </c>
      <c r="AB47" s="594">
        <f>AB15</f>
        <v>316688</v>
      </c>
      <c r="AC47" s="374">
        <v>317668</v>
      </c>
      <c r="AD47" s="233"/>
      <c r="AE47" s="233"/>
      <c r="AI47" s="3"/>
    </row>
    <row r="48" spans="1:35" ht="12.75" customHeight="1">
      <c r="A48" s="92"/>
      <c r="B48" s="92" t="s">
        <v>163</v>
      </c>
      <c r="C48" s="93">
        <f>F48-J48</f>
        <v>-21696</v>
      </c>
      <c r="D48" s="44">
        <f>C48/J48</f>
        <v>-0.24773627778983065</v>
      </c>
      <c r="E48" s="11"/>
      <c r="F48" s="503">
        <f>F17+F18+F19+F20+F21+F22+F23+F24+F25+F26</f>
        <v>65881</v>
      </c>
      <c r="G48" s="530">
        <v>72055</v>
      </c>
      <c r="H48" s="530">
        <v>76728</v>
      </c>
      <c r="I48" s="463">
        <v>96729</v>
      </c>
      <c r="J48" s="298">
        <v>87577</v>
      </c>
      <c r="K48" s="298">
        <v>104907</v>
      </c>
      <c r="L48" s="298">
        <v>95426</v>
      </c>
      <c r="M48" s="298">
        <v>125313</v>
      </c>
      <c r="N48" s="246">
        <v>118739</v>
      </c>
      <c r="O48" s="302">
        <v>106957</v>
      </c>
      <c r="P48" s="302">
        <v>92702</v>
      </c>
      <c r="Q48" s="302">
        <v>112876</v>
      </c>
      <c r="R48" s="99"/>
      <c r="S48" s="317">
        <f t="shared" si="12"/>
        <v>311393</v>
      </c>
      <c r="T48" s="400">
        <f t="shared" si="12"/>
        <v>413223</v>
      </c>
      <c r="U48" s="238">
        <f>S48-T48</f>
        <v>-101830</v>
      </c>
      <c r="V48" s="44">
        <f>U48/T48</f>
        <v>-0.2464286837857525</v>
      </c>
      <c r="W48" s="92"/>
      <c r="X48" s="265">
        <f>F48+G48+H48+I48</f>
        <v>311393</v>
      </c>
      <c r="Y48" s="260">
        <v>413223</v>
      </c>
      <c r="Z48" s="246">
        <v>431274</v>
      </c>
      <c r="AA48" s="37">
        <v>363542</v>
      </c>
      <c r="AB48" s="42">
        <v>274358</v>
      </c>
      <c r="AC48" s="42">
        <v>271025</v>
      </c>
      <c r="AD48" s="233"/>
      <c r="AE48" s="233"/>
      <c r="AI48" s="3"/>
    </row>
    <row r="49" spans="1:35" ht="12.75" customHeight="1">
      <c r="A49" s="92"/>
      <c r="B49" s="233" t="s">
        <v>151</v>
      </c>
      <c r="C49" s="239">
        <f>F49-J49</f>
        <v>-9957</v>
      </c>
      <c r="D49" s="240">
        <f>C49/J49</f>
        <v>-0.5905693950177936</v>
      </c>
      <c r="E49" s="11"/>
      <c r="F49" s="554">
        <f>F47-F48</f>
        <v>6903</v>
      </c>
      <c r="G49" s="543">
        <f aca="true" t="shared" si="13" ref="G49:N49">G47-G48</f>
        <v>-14148</v>
      </c>
      <c r="H49" s="543">
        <f t="shared" si="13"/>
        <v>4047</v>
      </c>
      <c r="I49" s="543">
        <f t="shared" si="13"/>
        <v>12169</v>
      </c>
      <c r="J49" s="554">
        <f t="shared" si="13"/>
        <v>16860</v>
      </c>
      <c r="K49" s="543">
        <f t="shared" si="13"/>
        <v>20223</v>
      </c>
      <c r="L49" s="543">
        <f t="shared" si="13"/>
        <v>21932</v>
      </c>
      <c r="M49" s="543">
        <f t="shared" si="13"/>
        <v>36828</v>
      </c>
      <c r="N49" s="554">
        <f t="shared" si="13"/>
        <v>34885</v>
      </c>
      <c r="O49" s="305">
        <v>27748</v>
      </c>
      <c r="P49" s="305">
        <v>15706</v>
      </c>
      <c r="Q49" s="305">
        <v>20374</v>
      </c>
      <c r="R49" s="99"/>
      <c r="S49" s="315">
        <f t="shared" si="12"/>
        <v>8971</v>
      </c>
      <c r="T49" s="412">
        <f t="shared" si="12"/>
        <v>95843</v>
      </c>
      <c r="U49" s="419">
        <f>S49-T49</f>
        <v>-86872</v>
      </c>
      <c r="V49" s="240">
        <f>U49/T49</f>
        <v>-0.9063990067088885</v>
      </c>
      <c r="W49" s="92"/>
      <c r="X49" s="284">
        <f>F49+G49+H49+I49</f>
        <v>8971</v>
      </c>
      <c r="Y49" s="554">
        <f>Y47-Y48</f>
        <v>95843</v>
      </c>
      <c r="Z49" s="554">
        <f>Z47-Z48</f>
        <v>99218</v>
      </c>
      <c r="AA49" s="554">
        <f>AA47-AA48</f>
        <v>74012</v>
      </c>
      <c r="AB49" s="467">
        <f>AB47-AB48</f>
        <v>42330</v>
      </c>
      <c r="AC49" s="245">
        <v>46643</v>
      </c>
      <c r="AD49" s="233"/>
      <c r="AE49" s="233"/>
      <c r="AI49" s="3"/>
    </row>
    <row r="50" spans="1:35" ht="12.75" customHeight="1">
      <c r="A50" s="92"/>
      <c r="B50" s="92"/>
      <c r="C50" s="238"/>
      <c r="D50" s="11"/>
      <c r="E50" s="11"/>
      <c r="F50" s="11"/>
      <c r="G50" s="11"/>
      <c r="H50" s="11"/>
      <c r="I50" s="233"/>
      <c r="J50" s="92"/>
      <c r="K50" s="92"/>
      <c r="L50" s="92"/>
      <c r="M50" s="92"/>
      <c r="N50" s="92"/>
      <c r="O50" s="92"/>
      <c r="P50" s="92"/>
      <c r="Q50" s="92"/>
      <c r="R50" s="233"/>
      <c r="S50" s="266"/>
      <c r="T50" s="266"/>
      <c r="U50" s="238"/>
      <c r="V50" s="11"/>
      <c r="W50" s="233"/>
      <c r="X50" s="233"/>
      <c r="Y50" s="92"/>
      <c r="Z50" s="92"/>
      <c r="AA50" s="366"/>
      <c r="AB50" s="366"/>
      <c r="AC50" s="366"/>
      <c r="AD50" s="233"/>
      <c r="AE50" s="233"/>
      <c r="AI50" s="3"/>
    </row>
    <row r="51" spans="1:35" ht="12.75" customHeight="1">
      <c r="A51" s="92"/>
      <c r="B51" s="230" t="s">
        <v>155</v>
      </c>
      <c r="C51" s="294">
        <f>(F51-J51)*100</f>
        <v>1.9939339399360045</v>
      </c>
      <c r="D51" s="11"/>
      <c r="E51" s="11"/>
      <c r="F51" s="11">
        <f>(F19+F20+F21+F22+F23+F24+F25)/F47</f>
        <v>0.3350049461420092</v>
      </c>
      <c r="G51" s="11">
        <v>0.5806858644173264</v>
      </c>
      <c r="H51" s="11">
        <v>0.3657585139318885</v>
      </c>
      <c r="I51" s="11">
        <v>0.2922812689432209</v>
      </c>
      <c r="J51" s="34">
        <v>0.31506560674264916</v>
      </c>
      <c r="K51" s="34">
        <v>0.28772521622356156</v>
      </c>
      <c r="L51" s="34">
        <v>0.27809848646344065</v>
      </c>
      <c r="M51" s="34">
        <v>0.21399999999999997</v>
      </c>
      <c r="N51" s="34">
        <v>0.19700000000000006</v>
      </c>
      <c r="O51" s="34">
        <v>0.2230000000000001</v>
      </c>
      <c r="P51" s="34">
        <v>0.28700000000000003</v>
      </c>
      <c r="Q51" s="34">
        <v>0.281</v>
      </c>
      <c r="R51" s="233"/>
      <c r="S51" s="34">
        <f aca="true" t="shared" si="14" ref="S51:T53">X51</f>
        <v>0.3725012797942341</v>
      </c>
      <c r="T51" s="34">
        <f t="shared" si="14"/>
        <v>0.26781362993240054</v>
      </c>
      <c r="U51" s="294">
        <f>(S51-T51)*100</f>
        <v>10.468764986183354</v>
      </c>
      <c r="V51" s="11"/>
      <c r="W51" s="233"/>
      <c r="X51" s="34">
        <f>(X19+X20+X21+X22+X23+X24+X25+X26)/X47</f>
        <v>0.3725012797942341</v>
      </c>
      <c r="Y51" s="34">
        <v>0.26781362993240054</v>
      </c>
      <c r="Z51" s="34">
        <v>0.243</v>
      </c>
      <c r="AA51" s="372">
        <v>0.24</v>
      </c>
      <c r="AB51" s="372">
        <v>0.262</v>
      </c>
      <c r="AC51" s="372">
        <v>0.235</v>
      </c>
      <c r="AD51" s="233"/>
      <c r="AE51" s="233"/>
      <c r="AI51" s="3"/>
    </row>
    <row r="52" spans="1:35" ht="12.75" customHeight="1">
      <c r="A52" s="92"/>
      <c r="B52" s="230" t="s">
        <v>156</v>
      </c>
      <c r="C52" s="294">
        <f>(F52-J52)*100</f>
        <v>6.6377916609968945</v>
      </c>
      <c r="D52" s="11"/>
      <c r="E52" s="11"/>
      <c r="F52" s="11">
        <f>F48/F47</f>
        <v>0.905157726972961</v>
      </c>
      <c r="G52" s="11">
        <v>1.2454627164932417</v>
      </c>
      <c r="H52" s="11">
        <v>0.9501919504643963</v>
      </c>
      <c r="I52" s="11">
        <v>0.8884163926596741</v>
      </c>
      <c r="J52" s="34">
        <v>0.8387798103629921</v>
      </c>
      <c r="K52" s="34">
        <v>0.8385717254720149</v>
      </c>
      <c r="L52" s="34">
        <v>0.8136943082498401</v>
      </c>
      <c r="M52" s="34">
        <v>0.773</v>
      </c>
      <c r="N52" s="34">
        <v>0.773</v>
      </c>
      <c r="O52" s="34">
        <v>0.794</v>
      </c>
      <c r="P52" s="34">
        <v>0.855</v>
      </c>
      <c r="Q52" s="34">
        <v>0.847</v>
      </c>
      <c r="R52" s="233"/>
      <c r="S52" s="34">
        <f t="shared" si="14"/>
        <v>0.9719974778689241</v>
      </c>
      <c r="T52" s="34">
        <f t="shared" si="14"/>
        <v>0.8120244458418487</v>
      </c>
      <c r="U52" s="294">
        <f>(S52-T52)*100</f>
        <v>15.997303202707535</v>
      </c>
      <c r="V52" s="11"/>
      <c r="W52" s="233"/>
      <c r="X52" s="34">
        <f>X48/X47</f>
        <v>0.9719974778689241</v>
      </c>
      <c r="Y52" s="34">
        <v>0.8120244458418487</v>
      </c>
      <c r="Z52" s="34">
        <v>0.814</v>
      </c>
      <c r="AA52" s="372">
        <v>0.831</v>
      </c>
      <c r="AB52" s="372">
        <v>0.866</v>
      </c>
      <c r="AC52" s="372">
        <v>0.853</v>
      </c>
      <c r="AD52" s="233"/>
      <c r="AE52" s="233"/>
      <c r="AI52" s="3"/>
    </row>
    <row r="53" spans="1:31" ht="12.75" customHeight="1">
      <c r="A53" s="92"/>
      <c r="B53" s="230" t="s">
        <v>157</v>
      </c>
      <c r="C53" s="294">
        <f>(F53-J53)*100</f>
        <v>-6.637791660996905</v>
      </c>
      <c r="D53" s="11"/>
      <c r="E53" s="11"/>
      <c r="F53" s="11">
        <f>F49/F47</f>
        <v>0.0948422730270389</v>
      </c>
      <c r="G53" s="11">
        <v>-0.2454627164932416</v>
      </c>
      <c r="H53" s="11">
        <v>0.049808049535603714</v>
      </c>
      <c r="I53" s="11">
        <v>0.11158360734032587</v>
      </c>
      <c r="J53" s="34">
        <v>0.16122018963700796</v>
      </c>
      <c r="K53" s="34">
        <v>0.16142827452798517</v>
      </c>
      <c r="L53" s="34">
        <v>0.18630569175015987</v>
      </c>
      <c r="M53" s="34">
        <v>0.22699999999999998</v>
      </c>
      <c r="N53" s="34">
        <v>0.22699999999999998</v>
      </c>
      <c r="O53" s="34">
        <v>0.20599999999999996</v>
      </c>
      <c r="P53" s="34">
        <v>0.145</v>
      </c>
      <c r="Q53" s="34">
        <v>0.15300000000000002</v>
      </c>
      <c r="R53" s="233"/>
      <c r="S53" s="34">
        <f t="shared" si="14"/>
        <v>0.028002522131075902</v>
      </c>
      <c r="T53" s="34">
        <f t="shared" si="14"/>
        <v>0.18797555415815123</v>
      </c>
      <c r="U53" s="294">
        <f>(S53-T53)*100</f>
        <v>-15.997303202707533</v>
      </c>
      <c r="V53" s="11"/>
      <c r="W53" s="233"/>
      <c r="X53" s="34">
        <f>X49/X47</f>
        <v>0.028002522131075902</v>
      </c>
      <c r="Y53" s="34">
        <v>0.18797555415815123</v>
      </c>
      <c r="Z53" s="34">
        <v>0.18600000000000005</v>
      </c>
      <c r="AA53" s="372">
        <v>0.16900000000000004</v>
      </c>
      <c r="AB53" s="372">
        <v>0.134</v>
      </c>
      <c r="AC53" s="372">
        <v>0.14700000000000002</v>
      </c>
      <c r="AD53" s="233"/>
      <c r="AE53" s="233"/>
    </row>
    <row r="54" spans="1:31" ht="12.75" customHeight="1">
      <c r="A54" s="279"/>
      <c r="B54" s="7"/>
      <c r="C54" s="233"/>
      <c r="D54" s="233"/>
      <c r="E54" s="233"/>
      <c r="F54" s="233"/>
      <c r="G54" s="233"/>
      <c r="H54" s="233"/>
      <c r="I54" s="233"/>
      <c r="J54" s="233"/>
      <c r="K54" s="233"/>
      <c r="L54" s="233"/>
      <c r="M54" s="7"/>
      <c r="N54" s="233"/>
      <c r="O54" s="7"/>
      <c r="P54" s="7"/>
      <c r="Q54" s="233"/>
      <c r="R54" s="233"/>
      <c r="S54" s="233"/>
      <c r="T54" s="233"/>
      <c r="U54" s="233"/>
      <c r="V54" s="233"/>
      <c r="W54" s="233"/>
      <c r="X54" s="233"/>
      <c r="Y54" s="233"/>
      <c r="Z54" s="233"/>
      <c r="AD54" s="3"/>
      <c r="AE54" s="3"/>
    </row>
    <row r="55" spans="1:31" ht="12.75" customHeight="1">
      <c r="A55" s="1" t="s">
        <v>41</v>
      </c>
      <c r="B55" s="13"/>
      <c r="C55" s="13"/>
      <c r="D55" s="13"/>
      <c r="E55" s="13"/>
      <c r="F55" s="13"/>
      <c r="G55" s="13"/>
      <c r="H55" s="13"/>
      <c r="I55" s="15"/>
      <c r="J55" s="15"/>
      <c r="K55" s="15"/>
      <c r="L55" s="15"/>
      <c r="M55" s="15"/>
      <c r="N55" s="15"/>
      <c r="O55" s="15"/>
      <c r="P55" s="15"/>
      <c r="Q55" s="15"/>
      <c r="R55" s="3"/>
      <c r="S55" s="3"/>
      <c r="T55" s="3"/>
      <c r="Y55" s="2"/>
      <c r="Z55" s="2"/>
      <c r="AD55" s="3"/>
      <c r="AE55" s="3"/>
    </row>
    <row r="56" spans="1:31" ht="12.75">
      <c r="A56" s="3"/>
      <c r="B56" s="3"/>
      <c r="C56" s="3"/>
      <c r="D56" s="3"/>
      <c r="I56" s="2"/>
      <c r="J56" s="2"/>
      <c r="K56" s="2"/>
      <c r="L56" s="2"/>
      <c r="M56" s="2"/>
      <c r="N56" s="2"/>
      <c r="O56" s="2"/>
      <c r="P56" s="2"/>
      <c r="Q56" s="2"/>
      <c r="R56" s="3"/>
      <c r="S56" s="3"/>
      <c r="T56" s="3"/>
      <c r="Y56" s="30"/>
      <c r="Z56" s="30"/>
      <c r="AA56" s="388"/>
      <c r="AD56" s="3"/>
      <c r="AE56" s="3"/>
    </row>
    <row r="57" spans="9:31" ht="12.75">
      <c r="I57" s="30"/>
      <c r="Q57" s="30"/>
      <c r="R57" s="3"/>
      <c r="S57" s="3"/>
      <c r="T57" s="3"/>
      <c r="Y57" s="30"/>
      <c r="Z57" s="30"/>
      <c r="AD57" s="3"/>
      <c r="AE57" s="3"/>
    </row>
    <row r="58" spans="9:31" ht="12.75">
      <c r="I58" s="30"/>
      <c r="K58" s="396"/>
      <c r="N58" s="396"/>
      <c r="O58" s="396"/>
      <c r="Q58" s="30"/>
      <c r="R58" s="3"/>
      <c r="S58" s="3"/>
      <c r="T58" s="3"/>
      <c r="Y58" s="30"/>
      <c r="Z58" s="30"/>
      <c r="AD58" s="3"/>
      <c r="AE58" s="3"/>
    </row>
    <row r="59" spans="9:31" ht="12.75">
      <c r="I59" s="30"/>
      <c r="K59" s="396"/>
      <c r="N59" s="396"/>
      <c r="O59" s="396"/>
      <c r="Q59" s="30"/>
      <c r="R59" s="3"/>
      <c r="S59" s="3"/>
      <c r="T59" s="3"/>
      <c r="Y59" s="30"/>
      <c r="Z59" s="30"/>
      <c r="AD59" s="3"/>
      <c r="AE59" s="3"/>
    </row>
    <row r="60" spans="9:26" ht="12.75">
      <c r="I60" s="30"/>
      <c r="K60" s="396"/>
      <c r="N60" s="396"/>
      <c r="O60" s="396"/>
      <c r="Q60" s="30"/>
      <c r="R60" s="3"/>
      <c r="S60" s="3"/>
      <c r="T60" s="3"/>
      <c r="Y60" s="2"/>
      <c r="Z60" s="2"/>
    </row>
    <row r="61" spans="9:26" ht="12.75">
      <c r="I61" s="2"/>
      <c r="K61" s="396"/>
      <c r="N61" s="396"/>
      <c r="O61" s="396"/>
      <c r="Q61" s="235"/>
      <c r="R61" s="3"/>
      <c r="S61" s="3"/>
      <c r="T61" s="3"/>
      <c r="Y61" s="2"/>
      <c r="Z61" s="2"/>
    </row>
    <row r="62" spans="9:26" ht="12.75">
      <c r="I62" s="2"/>
      <c r="K62" s="396"/>
      <c r="N62" s="396"/>
      <c r="O62" s="396"/>
      <c r="Q62" s="236"/>
      <c r="R62" s="3"/>
      <c r="S62" s="3"/>
      <c r="T62" s="3"/>
      <c r="Y62" s="2"/>
      <c r="Z62" s="2"/>
    </row>
    <row r="63" spans="9:26" ht="12.75">
      <c r="I63" s="2"/>
      <c r="K63" s="396"/>
      <c r="N63" s="396"/>
      <c r="O63" s="396"/>
      <c r="Q63" s="236"/>
      <c r="R63" s="3"/>
      <c r="S63" s="3"/>
      <c r="T63" s="3"/>
      <c r="Y63" s="31"/>
      <c r="Z63" s="31"/>
    </row>
    <row r="64" spans="9:26" ht="12.75">
      <c r="I64" s="31"/>
      <c r="K64" s="396"/>
      <c r="N64" s="396"/>
      <c r="O64" s="396"/>
      <c r="Q64" s="11"/>
      <c r="R64" s="3"/>
      <c r="S64" s="3"/>
      <c r="T64" s="3"/>
      <c r="Y64" s="31"/>
      <c r="Z64" s="31"/>
    </row>
    <row r="65" spans="9:26" ht="12.75">
      <c r="I65" s="31"/>
      <c r="K65" s="396"/>
      <c r="N65" s="396"/>
      <c r="O65" s="396"/>
      <c r="Q65" s="11"/>
      <c r="R65" s="3"/>
      <c r="S65" s="3"/>
      <c r="T65" s="3"/>
      <c r="Y65" s="31"/>
      <c r="Z65" s="31"/>
    </row>
    <row r="66" spans="9:26" ht="12.75">
      <c r="I66" s="32"/>
      <c r="K66" s="396"/>
      <c r="N66" s="396"/>
      <c r="O66" s="396"/>
      <c r="Q66" s="32"/>
      <c r="R66" s="3"/>
      <c r="S66" s="3"/>
      <c r="T66" s="3"/>
      <c r="Y66" s="2"/>
      <c r="Z66" s="2"/>
    </row>
    <row r="67" spans="9:26" ht="12.75">
      <c r="I67" s="2"/>
      <c r="K67" s="396"/>
      <c r="N67" s="396"/>
      <c r="O67" s="396"/>
      <c r="Q67" s="237"/>
      <c r="R67" s="3"/>
      <c r="S67" s="3"/>
      <c r="T67" s="3"/>
      <c r="Y67" s="2"/>
      <c r="Z67" s="2"/>
    </row>
    <row r="68" spans="9:26" ht="12.75">
      <c r="I68" s="2"/>
      <c r="J68" s="2"/>
      <c r="K68" s="396"/>
      <c r="M68" s="2"/>
      <c r="N68" s="396"/>
      <c r="O68" s="396"/>
      <c r="P68" s="2"/>
      <c r="Q68" s="2"/>
      <c r="R68" s="3"/>
      <c r="S68" s="3"/>
      <c r="T68" s="3"/>
      <c r="Y68" s="50"/>
      <c r="Z68" s="50"/>
    </row>
    <row r="69" spans="9:26" ht="12.75">
      <c r="I69" s="31"/>
      <c r="J69" s="43"/>
      <c r="K69" s="396"/>
      <c r="L69" s="31"/>
      <c r="M69" s="31"/>
      <c r="N69" s="396"/>
      <c r="O69" s="396"/>
      <c r="P69" s="33"/>
      <c r="Q69" s="1"/>
      <c r="R69" s="3"/>
      <c r="S69" s="3"/>
      <c r="T69" s="3"/>
      <c r="Y69" s="50"/>
      <c r="Z69" s="50"/>
    </row>
    <row r="70" spans="9:26" ht="12.75">
      <c r="I70" s="31"/>
      <c r="J70" s="31"/>
      <c r="K70" s="396"/>
      <c r="N70" s="396"/>
      <c r="O70" s="396"/>
      <c r="P70" s="31"/>
      <c r="Q70" s="31"/>
      <c r="R70" s="3"/>
      <c r="S70" s="3"/>
      <c r="T70" s="3"/>
      <c r="Y70" s="51"/>
      <c r="Z70" s="51"/>
    </row>
    <row r="71" spans="9:26" ht="12.75">
      <c r="I71" s="11"/>
      <c r="J71" s="41"/>
      <c r="K71" s="34"/>
      <c r="L71" s="34"/>
      <c r="M71" s="34"/>
      <c r="N71" s="41"/>
      <c r="O71" s="34"/>
      <c r="P71" s="34"/>
      <c r="Q71" s="46"/>
      <c r="R71" s="3"/>
      <c r="S71" s="3"/>
      <c r="T71" s="3"/>
      <c r="Y71" s="52"/>
      <c r="Z71" s="52"/>
    </row>
    <row r="72" spans="9:26" ht="12.75">
      <c r="I72" s="11"/>
      <c r="J72" s="34"/>
      <c r="K72" s="34"/>
      <c r="L72" s="34"/>
      <c r="M72" s="34"/>
      <c r="N72" s="34"/>
      <c r="O72" s="34"/>
      <c r="P72" s="34"/>
      <c r="Q72" s="46"/>
      <c r="R72" s="3"/>
      <c r="S72" s="3"/>
      <c r="T72" s="3"/>
      <c r="Y72" s="34"/>
      <c r="Z72" s="34"/>
    </row>
    <row r="73" spans="9:26" ht="12.75">
      <c r="I73" s="11"/>
      <c r="J73" s="34"/>
      <c r="K73" s="34"/>
      <c r="L73" s="34"/>
      <c r="M73" s="34"/>
      <c r="N73" s="34"/>
      <c r="O73" s="34"/>
      <c r="P73" s="34"/>
      <c r="Q73" s="40"/>
      <c r="R73" s="3"/>
      <c r="S73" s="3"/>
      <c r="T73" s="3"/>
      <c r="Y73" s="34"/>
      <c r="Z73" s="34"/>
    </row>
    <row r="74" spans="9:26" ht="12.75">
      <c r="I74" s="34"/>
      <c r="J74" s="34"/>
      <c r="K74" s="34"/>
      <c r="L74" s="34"/>
      <c r="M74" s="34"/>
      <c r="N74" s="34"/>
      <c r="O74" s="34"/>
      <c r="P74" s="34"/>
      <c r="Q74" s="34"/>
      <c r="R74" s="3"/>
      <c r="S74" s="3"/>
      <c r="T74" s="3"/>
      <c r="Y74" s="35"/>
      <c r="Z74" s="35"/>
    </row>
    <row r="75" spans="9:26" ht="12.75">
      <c r="I75" s="35"/>
      <c r="J75" s="35"/>
      <c r="K75" s="35"/>
      <c r="L75" s="35"/>
      <c r="M75" s="35"/>
      <c r="N75" s="35"/>
      <c r="O75" s="35"/>
      <c r="P75" s="35"/>
      <c r="Q75" s="35"/>
      <c r="R75" s="3"/>
      <c r="S75" s="3"/>
      <c r="T75" s="3"/>
      <c r="Y75" s="35"/>
      <c r="Z75" s="35"/>
    </row>
    <row r="76" spans="9:26" ht="12.75">
      <c r="I76" s="35"/>
      <c r="J76" s="35"/>
      <c r="K76" s="35"/>
      <c r="L76" s="35"/>
      <c r="M76" s="35"/>
      <c r="N76" s="35"/>
      <c r="O76" s="35"/>
      <c r="P76" s="35"/>
      <c r="Q76" s="35"/>
      <c r="R76" s="3"/>
      <c r="S76" s="3"/>
      <c r="T76" s="3"/>
      <c r="Y76" s="3"/>
      <c r="Z76" s="3"/>
    </row>
    <row r="77" spans="9:26" ht="12.75">
      <c r="I77" s="3"/>
      <c r="J77" s="3"/>
      <c r="K77" s="3"/>
      <c r="L77" s="3"/>
      <c r="M77" s="3"/>
      <c r="N77" s="3"/>
      <c r="O77" s="3"/>
      <c r="P77" s="3"/>
      <c r="Q77" s="3"/>
      <c r="R77" s="3"/>
      <c r="S77" s="3"/>
      <c r="T77" s="3"/>
      <c r="Y77" s="3"/>
      <c r="Z77" s="3"/>
    </row>
    <row r="78" spans="9:26" ht="12.75">
      <c r="I78" s="3"/>
      <c r="J78" s="3"/>
      <c r="K78" s="3"/>
      <c r="L78" s="3"/>
      <c r="M78" s="3"/>
      <c r="N78" s="3"/>
      <c r="O78" s="3"/>
      <c r="P78" s="3"/>
      <c r="Q78" s="3"/>
      <c r="R78" s="3"/>
      <c r="S78" s="3"/>
      <c r="T78" s="3"/>
      <c r="Y78" s="3"/>
      <c r="Z78" s="3"/>
    </row>
    <row r="79" spans="9:26" ht="12.75">
      <c r="I79" s="3"/>
      <c r="J79" s="3"/>
      <c r="K79" s="3"/>
      <c r="L79" s="3"/>
      <c r="M79" s="3"/>
      <c r="N79" s="3"/>
      <c r="O79" s="3"/>
      <c r="P79" s="3"/>
      <c r="Q79" s="3"/>
      <c r="R79" s="3"/>
      <c r="S79" s="3"/>
      <c r="T79" s="3"/>
      <c r="Y79" s="3"/>
      <c r="Z79" s="3"/>
    </row>
    <row r="80" spans="9:26" ht="12.75">
      <c r="I80" s="3"/>
      <c r="J80" s="3"/>
      <c r="K80" s="3"/>
      <c r="L80" s="3"/>
      <c r="M80" s="3"/>
      <c r="N80" s="3"/>
      <c r="O80" s="3"/>
      <c r="P80" s="3"/>
      <c r="Q80" s="3"/>
      <c r="R80" s="3"/>
      <c r="S80" s="3"/>
      <c r="T80" s="3"/>
      <c r="Y80" s="3"/>
      <c r="Z80" s="3"/>
    </row>
    <row r="81" spans="9:20" ht="12.75">
      <c r="I81" s="3"/>
      <c r="J81" s="3"/>
      <c r="K81" s="3"/>
      <c r="L81" s="3"/>
      <c r="M81" s="3"/>
      <c r="N81" s="3"/>
      <c r="O81" s="3"/>
      <c r="P81" s="3"/>
      <c r="Q81" s="3"/>
      <c r="R81" s="3"/>
      <c r="S81" s="3"/>
      <c r="T81" s="3"/>
    </row>
  </sheetData>
  <mergeCells count="9">
    <mergeCell ref="C46:D46"/>
    <mergeCell ref="U10:V10"/>
    <mergeCell ref="U46:V46"/>
    <mergeCell ref="S8:V8"/>
    <mergeCell ref="S45:V45"/>
    <mergeCell ref="S9:V9"/>
    <mergeCell ref="C9:D9"/>
    <mergeCell ref="C10:D10"/>
    <mergeCell ref="C45:D45"/>
  </mergeCells>
  <conditionalFormatting sqref="A33:B36 A54 S51:T53 J51:Q53 X35:Z39 X51:Z53 J35:Q39 A43:A44">
    <cfRule type="cellIs" priority="1" dxfId="0" operator="equal" stopIfTrue="1">
      <formula>0</formula>
    </cfRule>
  </conditionalFormatting>
  <printOptions/>
  <pageMargins left="0.28" right="0.18" top="0.41" bottom="0.59" header="0.38" footer="0.36"/>
  <pageSetup horizontalDpi="600" verticalDpi="600" orientation="landscape" scale="55" r:id="rId2"/>
  <headerFooter alignWithMargins="0">
    <oddFooter>&amp;LCCI Supplementary Fiscal Q4/09 - May 20, 2009&amp;CPage 6</oddFooter>
  </headerFooter>
  <drawing r:id="rId1"/>
</worksheet>
</file>

<file path=xl/worksheets/sheet9.xml><?xml version="1.0" encoding="utf-8"?>
<worksheet xmlns="http://schemas.openxmlformats.org/spreadsheetml/2006/main" xmlns:r="http://schemas.openxmlformats.org/officeDocument/2006/relationships">
  <dimension ref="A5:AK68"/>
  <sheetViews>
    <sheetView zoomScale="75" zoomScaleNormal="75" workbookViewId="0" topLeftCell="A1">
      <pane ySplit="10" topLeftCell="BM11" activePane="bottomLeft" state="frozen"/>
      <selection pane="topLeft" activeCell="B36" sqref="B36:L37"/>
      <selection pane="bottomLeft" activeCell="Y42" sqref="Y42"/>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7109375" style="3" customWidth="1"/>
    <col min="9" max="14" width="9.7109375" style="0" customWidth="1"/>
    <col min="15" max="17" width="9.7109375" style="0" hidden="1" customWidth="1"/>
    <col min="18" max="18" width="1.57421875" style="0" customWidth="1"/>
    <col min="19" max="20" width="9.7109375" style="0" hidden="1" customWidth="1"/>
    <col min="21" max="22" width="9.7109375" style="0" customWidth="1"/>
    <col min="23" max="23" width="1.57421875" style="0" customWidth="1"/>
    <col min="24" max="28" width="9.7109375" style="0" customWidth="1"/>
    <col min="29" max="29" width="9.7109375" style="0" hidden="1" customWidth="1"/>
    <col min="30" max="30" width="1.57421875" style="0" customWidth="1"/>
  </cols>
  <sheetData>
    <row r="1" ht="12.75"/>
    <row r="2" ht="12.75"/>
    <row r="3" ht="12.75"/>
    <row r="4" ht="12.75"/>
    <row r="5" spans="1:11" ht="12.75">
      <c r="A5" s="3"/>
      <c r="B5" s="3"/>
      <c r="C5" s="3"/>
      <c r="D5" s="3"/>
      <c r="I5" s="3"/>
      <c r="J5" s="3"/>
      <c r="K5" s="3"/>
    </row>
    <row r="6" spans="1:11" ht="18" customHeight="1">
      <c r="A6" s="146" t="s">
        <v>191</v>
      </c>
      <c r="B6" s="3"/>
      <c r="C6" s="3"/>
      <c r="D6" s="3"/>
      <c r="I6" s="3"/>
      <c r="J6" s="3"/>
      <c r="K6" s="3"/>
    </row>
    <row r="7" spans="1:11" ht="18" customHeight="1">
      <c r="A7" s="146" t="s">
        <v>197</v>
      </c>
      <c r="B7" s="3"/>
      <c r="C7" s="3"/>
      <c r="D7" s="3"/>
      <c r="I7" s="3"/>
      <c r="J7" s="3"/>
      <c r="K7" s="3"/>
    </row>
    <row r="8" spans="1:29" ht="9.75" customHeight="1">
      <c r="A8" s="2"/>
      <c r="B8" s="2"/>
      <c r="C8" s="2"/>
      <c r="D8" s="2"/>
      <c r="E8" s="2"/>
      <c r="F8" s="563"/>
      <c r="G8" s="2"/>
      <c r="H8" s="2"/>
      <c r="I8" s="3"/>
      <c r="J8" s="3"/>
      <c r="K8" s="3"/>
      <c r="S8" s="639"/>
      <c r="T8" s="639"/>
      <c r="U8" s="639"/>
      <c r="V8" s="639"/>
      <c r="AA8" s="3"/>
      <c r="AB8" s="3"/>
      <c r="AC8" s="3"/>
    </row>
    <row r="9" spans="1:29" ht="12.75">
      <c r="A9" s="6" t="s">
        <v>1</v>
      </c>
      <c r="B9" s="7"/>
      <c r="C9" s="611" t="s">
        <v>286</v>
      </c>
      <c r="D9" s="629"/>
      <c r="E9" s="15"/>
      <c r="F9" s="17"/>
      <c r="G9" s="546"/>
      <c r="H9" s="546"/>
      <c r="I9" s="548"/>
      <c r="J9" s="18"/>
      <c r="K9" s="18"/>
      <c r="L9" s="18"/>
      <c r="M9" s="19"/>
      <c r="N9" s="22"/>
      <c r="O9" s="19"/>
      <c r="P9" s="19"/>
      <c r="Q9" s="19"/>
      <c r="R9" s="24"/>
      <c r="S9" s="611" t="s">
        <v>285</v>
      </c>
      <c r="T9" s="602"/>
      <c r="U9" s="602"/>
      <c r="V9" s="603"/>
      <c r="W9" s="15"/>
      <c r="X9" s="98"/>
      <c r="Y9" s="17"/>
      <c r="Z9" s="22"/>
      <c r="AA9" s="98"/>
      <c r="AB9" s="98"/>
      <c r="AC9" s="98"/>
    </row>
    <row r="10" spans="1:37" ht="13.5">
      <c r="A10" s="6" t="s">
        <v>2</v>
      </c>
      <c r="B10" s="7"/>
      <c r="C10" s="630" t="s">
        <v>51</v>
      </c>
      <c r="D10" s="631"/>
      <c r="E10" s="16"/>
      <c r="F10" s="20" t="s">
        <v>166</v>
      </c>
      <c r="G10" s="21" t="s">
        <v>167</v>
      </c>
      <c r="H10" s="21" t="s">
        <v>168</v>
      </c>
      <c r="I10" s="14" t="s">
        <v>42</v>
      </c>
      <c r="J10" s="21" t="s">
        <v>43</v>
      </c>
      <c r="K10" s="21" t="s">
        <v>44</v>
      </c>
      <c r="L10" s="21" t="s">
        <v>45</v>
      </c>
      <c r="M10" s="14" t="s">
        <v>46</v>
      </c>
      <c r="N10" s="23" t="s">
        <v>47</v>
      </c>
      <c r="O10" s="319" t="s">
        <v>48</v>
      </c>
      <c r="P10" s="14" t="s">
        <v>49</v>
      </c>
      <c r="Q10" s="14" t="s">
        <v>50</v>
      </c>
      <c r="R10" s="345"/>
      <c r="S10" s="20" t="s">
        <v>55</v>
      </c>
      <c r="T10" s="21" t="s">
        <v>52</v>
      </c>
      <c r="U10" s="643" t="s">
        <v>51</v>
      </c>
      <c r="V10" s="631"/>
      <c r="W10" s="16"/>
      <c r="X10" s="20" t="s">
        <v>55</v>
      </c>
      <c r="Y10" s="20" t="s">
        <v>52</v>
      </c>
      <c r="Z10" s="23" t="s">
        <v>53</v>
      </c>
      <c r="AA10" s="23" t="s">
        <v>242</v>
      </c>
      <c r="AB10" s="23" t="s">
        <v>243</v>
      </c>
      <c r="AC10" s="23" t="s">
        <v>249</v>
      </c>
      <c r="AD10" s="3"/>
      <c r="AE10" s="3"/>
      <c r="AF10" s="3"/>
      <c r="AI10" s="3"/>
      <c r="AJ10" s="3"/>
      <c r="AK10" s="3"/>
    </row>
    <row r="11" spans="1:35" ht="12.75" customHeight="1">
      <c r="A11" s="227" t="s">
        <v>136</v>
      </c>
      <c r="B11" s="8"/>
      <c r="C11" s="249"/>
      <c r="D11" s="250"/>
      <c r="E11" s="233"/>
      <c r="F11" s="249"/>
      <c r="G11" s="7"/>
      <c r="H11" s="7"/>
      <c r="I11" s="549"/>
      <c r="J11" s="281"/>
      <c r="K11" s="233"/>
      <c r="L11" s="233"/>
      <c r="M11" s="251"/>
      <c r="N11" s="280"/>
      <c r="O11" s="251"/>
      <c r="P11" s="251"/>
      <c r="Q11" s="250"/>
      <c r="R11" s="99"/>
      <c r="S11" s="249"/>
      <c r="T11" s="233"/>
      <c r="U11" s="233"/>
      <c r="V11" s="251"/>
      <c r="W11" s="92"/>
      <c r="X11" s="99"/>
      <c r="Y11" s="249"/>
      <c r="Z11" s="99"/>
      <c r="AA11" s="374"/>
      <c r="AB11" s="374"/>
      <c r="AC11" s="374"/>
      <c r="AD11" s="3"/>
      <c r="AE11" s="3"/>
      <c r="AF11" s="3"/>
      <c r="AI11" s="3"/>
    </row>
    <row r="12" spans="1:35" ht="12.75" customHeight="1">
      <c r="A12" s="7"/>
      <c r="B12" s="92" t="s">
        <v>183</v>
      </c>
      <c r="C12" s="328">
        <f>F12-J12</f>
        <v>2060</v>
      </c>
      <c r="D12" s="29">
        <f>C12/J12</f>
        <v>0.13788487282463185</v>
      </c>
      <c r="E12" s="40"/>
      <c r="F12" s="323">
        <f>'3 Canaccord Adams'!F18</f>
        <v>17000</v>
      </c>
      <c r="G12" s="320">
        <v>12748</v>
      </c>
      <c r="H12" s="320">
        <v>11770</v>
      </c>
      <c r="I12" s="324">
        <f>'3 Canaccord Adams'!I18</f>
        <v>38189</v>
      </c>
      <c r="J12" s="320">
        <v>14940</v>
      </c>
      <c r="K12" s="320">
        <v>35117</v>
      </c>
      <c r="L12" s="320">
        <v>20857</v>
      </c>
      <c r="M12" s="324">
        <v>57355</v>
      </c>
      <c r="N12" s="287">
        <v>42984</v>
      </c>
      <c r="O12" s="327">
        <v>24995</v>
      </c>
      <c r="P12" s="324">
        <v>28878</v>
      </c>
      <c r="Q12" s="320">
        <v>48892</v>
      </c>
      <c r="R12" s="289"/>
      <c r="S12" s="399">
        <f>X12</f>
        <v>79707</v>
      </c>
      <c r="T12" s="358">
        <f>Y12</f>
        <v>128269</v>
      </c>
      <c r="U12" s="340">
        <f>S12-T12</f>
        <v>-48562</v>
      </c>
      <c r="V12" s="29">
        <f>U12/T12</f>
        <v>-0.37859498397898167</v>
      </c>
      <c r="W12" s="331"/>
      <c r="X12" s="287">
        <f>F12+G12+H12+I12</f>
        <v>79707</v>
      </c>
      <c r="Y12" s="293">
        <v>128269</v>
      </c>
      <c r="Z12" s="293">
        <v>145749</v>
      </c>
      <c r="AA12" s="42">
        <v>125900</v>
      </c>
      <c r="AB12" s="42">
        <v>116090</v>
      </c>
      <c r="AC12" s="42">
        <v>84489</v>
      </c>
      <c r="AD12" s="3"/>
      <c r="AE12" s="3"/>
      <c r="AF12" s="3"/>
      <c r="AI12" s="3"/>
    </row>
    <row r="13" spans="1:35" ht="12.75" customHeight="1">
      <c r="A13" s="8"/>
      <c r="B13" s="7"/>
      <c r="C13" s="332">
        <f>F13-J13</f>
        <v>2060</v>
      </c>
      <c r="D13" s="255">
        <f>C13/J13</f>
        <v>0.13788487282463185</v>
      </c>
      <c r="E13" s="40"/>
      <c r="F13" s="333">
        <f>SUM(F12:F12)</f>
        <v>17000</v>
      </c>
      <c r="G13" s="334">
        <v>12748</v>
      </c>
      <c r="H13" s="334">
        <v>11770</v>
      </c>
      <c r="I13" s="335">
        <f>SUM(I12:I12)</f>
        <v>38189</v>
      </c>
      <c r="J13" s="334">
        <v>14940</v>
      </c>
      <c r="K13" s="334">
        <v>35117</v>
      </c>
      <c r="L13" s="334">
        <v>20857</v>
      </c>
      <c r="M13" s="335">
        <v>57355</v>
      </c>
      <c r="N13" s="288">
        <v>42984</v>
      </c>
      <c r="O13" s="335">
        <v>24995</v>
      </c>
      <c r="P13" s="335">
        <v>28878</v>
      </c>
      <c r="Q13" s="334">
        <v>48892</v>
      </c>
      <c r="R13" s="289"/>
      <c r="S13" s="410">
        <f>X13</f>
        <v>79707</v>
      </c>
      <c r="T13" s="407">
        <f>Y13</f>
        <v>128269</v>
      </c>
      <c r="U13" s="401">
        <f aca="true" t="shared" si="0" ref="U13:U36">S13-T13</f>
        <v>-48562</v>
      </c>
      <c r="V13" s="255">
        <f aca="true" t="shared" si="1" ref="V13:V36">U13/T13</f>
        <v>-0.37859498397898167</v>
      </c>
      <c r="W13" s="331"/>
      <c r="X13" s="288">
        <f>SUM(X12:X12)</f>
        <v>79707</v>
      </c>
      <c r="Y13" s="288">
        <v>128269</v>
      </c>
      <c r="Z13" s="288">
        <v>145749</v>
      </c>
      <c r="AA13" s="369">
        <v>125900</v>
      </c>
      <c r="AB13" s="369">
        <v>116090</v>
      </c>
      <c r="AC13" s="369">
        <v>84489</v>
      </c>
      <c r="AD13" s="3"/>
      <c r="AE13" s="3"/>
      <c r="AF13" s="3"/>
      <c r="AI13" s="3"/>
    </row>
    <row r="14" spans="1:35" ht="12.75" customHeight="1">
      <c r="A14" s="227" t="s">
        <v>5</v>
      </c>
      <c r="B14" s="7"/>
      <c r="C14" s="328"/>
      <c r="D14" s="29"/>
      <c r="E14" s="40"/>
      <c r="F14" s="323"/>
      <c r="G14" s="320"/>
      <c r="H14" s="320"/>
      <c r="I14" s="324"/>
      <c r="J14" s="320"/>
      <c r="K14" s="320"/>
      <c r="L14" s="320"/>
      <c r="M14" s="324"/>
      <c r="N14" s="287"/>
      <c r="O14" s="324"/>
      <c r="P14" s="324"/>
      <c r="Q14" s="324"/>
      <c r="R14" s="289"/>
      <c r="S14" s="399"/>
      <c r="T14" s="358"/>
      <c r="U14" s="340"/>
      <c r="V14" s="29"/>
      <c r="W14" s="331"/>
      <c r="X14" s="289"/>
      <c r="Y14" s="287"/>
      <c r="Z14" s="287"/>
      <c r="AA14" s="42"/>
      <c r="AB14" s="42"/>
      <c r="AC14" s="42"/>
      <c r="AD14" s="3"/>
      <c r="AE14" s="3"/>
      <c r="AF14" s="3"/>
      <c r="AI14" s="3"/>
    </row>
    <row r="15" spans="1:35" ht="12.75" customHeight="1">
      <c r="A15" s="8"/>
      <c r="B15" s="92" t="s">
        <v>192</v>
      </c>
      <c r="C15" s="328">
        <f aca="true" t="shared" si="2" ref="C15:C28">F15-J15</f>
        <v>147</v>
      </c>
      <c r="D15" s="29">
        <f aca="true" t="shared" si="3" ref="D15:D28">C15/J15</f>
        <v>0.023318527918781726</v>
      </c>
      <c r="E15" s="40"/>
      <c r="F15" s="323">
        <f>6800-F16</f>
        <v>6451</v>
      </c>
      <c r="G15" s="320">
        <v>6553</v>
      </c>
      <c r="H15" s="320">
        <v>6306</v>
      </c>
      <c r="I15" s="324">
        <f>16702+2727-I16</f>
        <v>19046</v>
      </c>
      <c r="J15" s="320">
        <v>6304</v>
      </c>
      <c r="K15" s="320">
        <v>19655</v>
      </c>
      <c r="L15" s="320">
        <v>9123</v>
      </c>
      <c r="M15" s="324">
        <v>29965</v>
      </c>
      <c r="N15" s="287">
        <v>24628</v>
      </c>
      <c r="O15" s="324">
        <v>11280</v>
      </c>
      <c r="P15" s="324">
        <v>12498</v>
      </c>
      <c r="Q15" s="324">
        <v>25221</v>
      </c>
      <c r="R15" s="289"/>
      <c r="S15" s="399">
        <f aca="true" t="shared" si="4" ref="S15:S28">X15</f>
        <v>38356</v>
      </c>
      <c r="T15" s="358">
        <f aca="true" t="shared" si="5" ref="T15:T28">Y15</f>
        <v>65047</v>
      </c>
      <c r="U15" s="340">
        <f t="shared" si="0"/>
        <v>-26691</v>
      </c>
      <c r="V15" s="29">
        <f t="shared" si="1"/>
        <v>-0.4103340661367934</v>
      </c>
      <c r="W15" s="331"/>
      <c r="X15" s="287">
        <f aca="true" t="shared" si="6" ref="X15:X26">F15+G15+H15+I15</f>
        <v>38356</v>
      </c>
      <c r="Y15" s="287">
        <v>65047</v>
      </c>
      <c r="Z15" s="287">
        <v>73627</v>
      </c>
      <c r="AA15" s="42">
        <v>65303</v>
      </c>
      <c r="AB15" s="42">
        <v>62316</v>
      </c>
      <c r="AC15" s="42">
        <v>51311</v>
      </c>
      <c r="AD15" s="3"/>
      <c r="AE15" s="3"/>
      <c r="AF15" s="3"/>
      <c r="AI15" s="3"/>
    </row>
    <row r="16" spans="1:35" ht="12.75" customHeight="1">
      <c r="A16" s="8"/>
      <c r="B16" s="92" t="s">
        <v>193</v>
      </c>
      <c r="C16" s="336">
        <f t="shared" si="2"/>
        <v>-73</v>
      </c>
      <c r="D16" s="234">
        <f t="shared" si="3"/>
        <v>-0.17298578199052134</v>
      </c>
      <c r="E16" s="40"/>
      <c r="F16" s="325">
        <v>349</v>
      </c>
      <c r="G16" s="326">
        <v>422</v>
      </c>
      <c r="H16" s="326">
        <v>405</v>
      </c>
      <c r="I16" s="327">
        <v>383</v>
      </c>
      <c r="J16" s="326">
        <v>422</v>
      </c>
      <c r="K16" s="326">
        <v>392</v>
      </c>
      <c r="L16" s="326">
        <v>369</v>
      </c>
      <c r="M16" s="327">
        <v>388</v>
      </c>
      <c r="N16" s="287">
        <v>933</v>
      </c>
      <c r="O16" s="324">
        <v>548</v>
      </c>
      <c r="P16" s="327">
        <v>629</v>
      </c>
      <c r="Q16" s="327">
        <v>1404</v>
      </c>
      <c r="R16" s="289"/>
      <c r="S16" s="336">
        <f t="shared" si="4"/>
        <v>1559</v>
      </c>
      <c r="T16" s="361">
        <f t="shared" si="5"/>
        <v>1571</v>
      </c>
      <c r="U16" s="408">
        <f t="shared" si="0"/>
        <v>-12</v>
      </c>
      <c r="V16" s="234">
        <f t="shared" si="1"/>
        <v>-0.0076384468491406746</v>
      </c>
      <c r="W16" s="331"/>
      <c r="X16" s="293">
        <f t="shared" si="6"/>
        <v>1559</v>
      </c>
      <c r="Y16" s="293">
        <v>1571</v>
      </c>
      <c r="Z16" s="293">
        <v>3514</v>
      </c>
      <c r="AA16" s="42">
        <v>3586</v>
      </c>
      <c r="AB16" s="245">
        <v>3711</v>
      </c>
      <c r="AC16" s="245">
        <v>2665</v>
      </c>
      <c r="AD16" s="3"/>
      <c r="AE16" s="3"/>
      <c r="AF16" s="3"/>
      <c r="AI16" s="3"/>
    </row>
    <row r="17" spans="1:35" ht="12.75" customHeight="1">
      <c r="A17" s="8"/>
      <c r="B17" s="92" t="s">
        <v>194</v>
      </c>
      <c r="C17" s="328">
        <f t="shared" si="2"/>
        <v>74</v>
      </c>
      <c r="D17" s="29">
        <f t="shared" si="3"/>
        <v>0.011002081474873625</v>
      </c>
      <c r="E17" s="40"/>
      <c r="F17" s="323">
        <f>SUM(F15:F16)</f>
        <v>6800</v>
      </c>
      <c r="G17" s="320">
        <v>6975</v>
      </c>
      <c r="H17" s="320">
        <v>6711</v>
      </c>
      <c r="I17" s="324">
        <f>SUM(I15:I16)</f>
        <v>19429</v>
      </c>
      <c r="J17" s="320">
        <v>6726</v>
      </c>
      <c r="K17" s="320">
        <v>20047</v>
      </c>
      <c r="L17" s="320">
        <v>9492</v>
      </c>
      <c r="M17" s="324">
        <v>30353</v>
      </c>
      <c r="N17" s="343">
        <v>25561</v>
      </c>
      <c r="O17" s="322">
        <v>11828</v>
      </c>
      <c r="P17" s="324">
        <v>13127</v>
      </c>
      <c r="Q17" s="324">
        <v>26625</v>
      </c>
      <c r="R17" s="289"/>
      <c r="S17" s="399">
        <f t="shared" si="4"/>
        <v>39915</v>
      </c>
      <c r="T17" s="358">
        <f t="shared" si="5"/>
        <v>66618</v>
      </c>
      <c r="U17" s="340">
        <f t="shared" si="0"/>
        <v>-26703</v>
      </c>
      <c r="V17" s="29">
        <f t="shared" si="1"/>
        <v>-0.40083761145636315</v>
      </c>
      <c r="W17" s="331"/>
      <c r="X17" s="287">
        <f t="shared" si="6"/>
        <v>39915</v>
      </c>
      <c r="Y17" s="287">
        <v>66618</v>
      </c>
      <c r="Z17" s="287">
        <v>77141</v>
      </c>
      <c r="AA17" s="374">
        <v>68889</v>
      </c>
      <c r="AB17" s="374">
        <v>66027</v>
      </c>
      <c r="AC17" s="374">
        <v>53976</v>
      </c>
      <c r="AD17" s="3"/>
      <c r="AE17" s="3"/>
      <c r="AF17" s="3"/>
      <c r="AI17" s="3"/>
    </row>
    <row r="18" spans="1:35" ht="12.75" customHeight="1">
      <c r="A18" s="8"/>
      <c r="B18" s="92" t="s">
        <v>142</v>
      </c>
      <c r="C18" s="328">
        <f t="shared" si="2"/>
        <v>-25</v>
      </c>
      <c r="D18" s="29">
        <f t="shared" si="3"/>
        <v>-0.018726591760299626</v>
      </c>
      <c r="E18" s="40"/>
      <c r="F18" s="323">
        <v>1310</v>
      </c>
      <c r="G18" s="320">
        <v>1349</v>
      </c>
      <c r="H18" s="320">
        <v>1622</v>
      </c>
      <c r="I18" s="324">
        <f>1328+8</f>
        <v>1336</v>
      </c>
      <c r="J18" s="320">
        <v>1335</v>
      </c>
      <c r="K18" s="320">
        <v>1081</v>
      </c>
      <c r="L18" s="320">
        <v>993</v>
      </c>
      <c r="M18" s="324">
        <v>1185</v>
      </c>
      <c r="N18" s="287">
        <v>478</v>
      </c>
      <c r="O18" s="324">
        <v>1237</v>
      </c>
      <c r="P18" s="324">
        <v>726</v>
      </c>
      <c r="Q18" s="324">
        <v>698</v>
      </c>
      <c r="R18" s="289"/>
      <c r="S18" s="399">
        <f t="shared" si="4"/>
        <v>5617</v>
      </c>
      <c r="T18" s="358">
        <f t="shared" si="5"/>
        <v>4594</v>
      </c>
      <c r="U18" s="340">
        <f t="shared" si="0"/>
        <v>1023</v>
      </c>
      <c r="V18" s="29">
        <f t="shared" si="1"/>
        <v>0.22268175881584676</v>
      </c>
      <c r="W18" s="331"/>
      <c r="X18" s="287">
        <f t="shared" si="6"/>
        <v>5617</v>
      </c>
      <c r="Y18" s="287">
        <v>4594</v>
      </c>
      <c r="Z18" s="287">
        <v>3139</v>
      </c>
      <c r="AA18" s="42">
        <v>3210</v>
      </c>
      <c r="AB18" s="42">
        <v>8795</v>
      </c>
      <c r="AC18" s="42">
        <v>5858</v>
      </c>
      <c r="AD18" s="3"/>
      <c r="AE18" s="3"/>
      <c r="AF18" s="3"/>
      <c r="AI18" s="3"/>
    </row>
    <row r="19" spans="1:35" ht="12.75" customHeight="1">
      <c r="A19" s="8"/>
      <c r="B19" s="92" t="s">
        <v>189</v>
      </c>
      <c r="C19" s="328">
        <f t="shared" si="2"/>
        <v>243</v>
      </c>
      <c r="D19" s="29">
        <f t="shared" si="3"/>
        <v>0.42408376963350786</v>
      </c>
      <c r="E19" s="40"/>
      <c r="F19" s="323">
        <v>816</v>
      </c>
      <c r="G19" s="320">
        <v>736</v>
      </c>
      <c r="H19" s="320">
        <v>757</v>
      </c>
      <c r="I19" s="324">
        <v>633</v>
      </c>
      <c r="J19" s="320">
        <v>573</v>
      </c>
      <c r="K19" s="320">
        <v>690</v>
      </c>
      <c r="L19" s="320">
        <v>497</v>
      </c>
      <c r="M19" s="324">
        <v>419</v>
      </c>
      <c r="N19" s="287">
        <v>424</v>
      </c>
      <c r="O19" s="324">
        <v>346</v>
      </c>
      <c r="P19" s="324">
        <v>332</v>
      </c>
      <c r="Q19" s="324">
        <v>375</v>
      </c>
      <c r="R19" s="289"/>
      <c r="S19" s="399">
        <f t="shared" si="4"/>
        <v>2942</v>
      </c>
      <c r="T19" s="358">
        <f t="shared" si="5"/>
        <v>2179</v>
      </c>
      <c r="U19" s="340">
        <f t="shared" si="0"/>
        <v>763</v>
      </c>
      <c r="V19" s="29">
        <f t="shared" si="1"/>
        <v>0.35016062413951354</v>
      </c>
      <c r="W19" s="331"/>
      <c r="X19" s="287">
        <f t="shared" si="6"/>
        <v>2942</v>
      </c>
      <c r="Y19" s="287">
        <v>2179</v>
      </c>
      <c r="Z19" s="287">
        <v>1477</v>
      </c>
      <c r="AA19" s="42">
        <v>1190</v>
      </c>
      <c r="AB19" s="42">
        <v>1163</v>
      </c>
      <c r="AC19" s="42">
        <v>1117</v>
      </c>
      <c r="AD19" s="3"/>
      <c r="AE19" s="3"/>
      <c r="AF19" s="3"/>
      <c r="AI19" s="3"/>
    </row>
    <row r="20" spans="1:35" ht="12.75" customHeight="1">
      <c r="A20" s="8"/>
      <c r="B20" s="92" t="s">
        <v>144</v>
      </c>
      <c r="C20" s="328">
        <f t="shared" si="2"/>
        <v>-23</v>
      </c>
      <c r="D20" s="29">
        <f t="shared" si="3"/>
        <v>-0.023883696780893044</v>
      </c>
      <c r="E20" s="40"/>
      <c r="F20" s="323">
        <f>924+16</f>
        <v>940</v>
      </c>
      <c r="G20" s="320">
        <v>1156</v>
      </c>
      <c r="H20" s="320">
        <v>1038</v>
      </c>
      <c r="I20" s="324">
        <f>954+13</f>
        <v>967</v>
      </c>
      <c r="J20" s="320">
        <v>963</v>
      </c>
      <c r="K20" s="320">
        <v>896</v>
      </c>
      <c r="L20" s="320">
        <v>907</v>
      </c>
      <c r="M20" s="324">
        <v>512</v>
      </c>
      <c r="N20" s="287">
        <v>2705</v>
      </c>
      <c r="O20" s="324">
        <v>1396</v>
      </c>
      <c r="P20" s="324">
        <v>1091</v>
      </c>
      <c r="Q20" s="324">
        <v>1208</v>
      </c>
      <c r="R20" s="289"/>
      <c r="S20" s="399">
        <f t="shared" si="4"/>
        <v>4101</v>
      </c>
      <c r="T20" s="358">
        <f t="shared" si="5"/>
        <v>3278</v>
      </c>
      <c r="U20" s="340">
        <f t="shared" si="0"/>
        <v>823</v>
      </c>
      <c r="V20" s="29">
        <f t="shared" si="1"/>
        <v>0.2510677242220866</v>
      </c>
      <c r="W20" s="331"/>
      <c r="X20" s="287">
        <f t="shared" si="6"/>
        <v>4101</v>
      </c>
      <c r="Y20" s="287">
        <v>3278</v>
      </c>
      <c r="Z20" s="287">
        <v>6400</v>
      </c>
      <c r="AA20" s="42">
        <v>2139</v>
      </c>
      <c r="AB20" s="42">
        <v>2143</v>
      </c>
      <c r="AC20" s="42">
        <v>2573</v>
      </c>
      <c r="AD20" s="3"/>
      <c r="AE20" s="3"/>
      <c r="AF20" s="3"/>
      <c r="AI20" s="3"/>
    </row>
    <row r="21" spans="1:35" ht="12.75" customHeight="1">
      <c r="A21" s="8"/>
      <c r="B21" s="92" t="s">
        <v>145</v>
      </c>
      <c r="C21" s="328">
        <f t="shared" si="2"/>
        <v>-273</v>
      </c>
      <c r="D21" s="29">
        <f t="shared" si="3"/>
        <v>-0.34210526315789475</v>
      </c>
      <c r="E21" s="40"/>
      <c r="F21" s="323">
        <v>525</v>
      </c>
      <c r="G21" s="320">
        <v>-62</v>
      </c>
      <c r="H21" s="320">
        <v>791</v>
      </c>
      <c r="I21" s="324">
        <f>794-1</f>
        <v>793</v>
      </c>
      <c r="J21" s="320">
        <v>798</v>
      </c>
      <c r="K21" s="320">
        <v>686</v>
      </c>
      <c r="L21" s="320">
        <v>710</v>
      </c>
      <c r="M21" s="324">
        <v>622</v>
      </c>
      <c r="N21" s="287">
        <v>647</v>
      </c>
      <c r="O21" s="324">
        <v>568</v>
      </c>
      <c r="P21" s="324">
        <v>568</v>
      </c>
      <c r="Q21" s="324">
        <v>444</v>
      </c>
      <c r="R21" s="289"/>
      <c r="S21" s="399">
        <f t="shared" si="4"/>
        <v>2047</v>
      </c>
      <c r="T21" s="358">
        <f t="shared" si="5"/>
        <v>2816</v>
      </c>
      <c r="U21" s="340">
        <f t="shared" si="0"/>
        <v>-769</v>
      </c>
      <c r="V21" s="29">
        <f t="shared" si="1"/>
        <v>-0.27308238636363635</v>
      </c>
      <c r="W21" s="331"/>
      <c r="X21" s="287">
        <f t="shared" si="6"/>
        <v>2047</v>
      </c>
      <c r="Y21" s="287">
        <v>2816</v>
      </c>
      <c r="Z21" s="287">
        <v>2227</v>
      </c>
      <c r="AA21" s="42">
        <v>1440</v>
      </c>
      <c r="AB21" s="42">
        <v>1036</v>
      </c>
      <c r="AC21" s="42">
        <v>837</v>
      </c>
      <c r="AD21" s="3"/>
      <c r="AE21" s="3"/>
      <c r="AF21" s="3"/>
      <c r="AI21" s="3"/>
    </row>
    <row r="22" spans="1:35" ht="12.75" customHeight="1">
      <c r="A22" s="8"/>
      <c r="B22" s="92" t="s">
        <v>140</v>
      </c>
      <c r="C22" s="328">
        <f t="shared" si="2"/>
        <v>23</v>
      </c>
      <c r="D22" s="29" t="s">
        <v>54</v>
      </c>
      <c r="E22" s="40"/>
      <c r="F22" s="323">
        <v>21</v>
      </c>
      <c r="G22" s="320">
        <v>21</v>
      </c>
      <c r="H22" s="320">
        <v>63</v>
      </c>
      <c r="I22" s="324">
        <f>147+1</f>
        <v>148</v>
      </c>
      <c r="J22" s="320">
        <v>-2</v>
      </c>
      <c r="K22" s="340">
        <v>0</v>
      </c>
      <c r="L22" s="340">
        <v>0</v>
      </c>
      <c r="M22" s="367">
        <v>0</v>
      </c>
      <c r="N22" s="359">
        <v>0</v>
      </c>
      <c r="O22" s="324">
        <v>1</v>
      </c>
      <c r="P22" s="324">
        <v>1</v>
      </c>
      <c r="Q22" s="367">
        <v>0</v>
      </c>
      <c r="R22" s="289"/>
      <c r="S22" s="399">
        <f t="shared" si="4"/>
        <v>253</v>
      </c>
      <c r="T22" s="340">
        <f t="shared" si="5"/>
        <v>-2</v>
      </c>
      <c r="U22" s="340">
        <f t="shared" si="0"/>
        <v>255</v>
      </c>
      <c r="V22" s="367" t="s">
        <v>54</v>
      </c>
      <c r="W22" s="331"/>
      <c r="X22" s="287">
        <f t="shared" si="6"/>
        <v>253</v>
      </c>
      <c r="Y22" s="287">
        <v>-2</v>
      </c>
      <c r="Z22" s="287">
        <v>2</v>
      </c>
      <c r="AA22" s="42">
        <v>5</v>
      </c>
      <c r="AB22" s="42">
        <v>1</v>
      </c>
      <c r="AC22" s="42">
        <v>35</v>
      </c>
      <c r="AD22" s="3"/>
      <c r="AE22" s="3"/>
      <c r="AF22" s="3"/>
      <c r="AI22" s="3"/>
    </row>
    <row r="23" spans="1:35" ht="12.75" customHeight="1">
      <c r="A23" s="8"/>
      <c r="B23" s="92" t="s">
        <v>181</v>
      </c>
      <c r="C23" s="328">
        <f t="shared" si="2"/>
        <v>-1445</v>
      </c>
      <c r="D23" s="29">
        <f t="shared" si="3"/>
        <v>-0.3482766931790793</v>
      </c>
      <c r="E23" s="40"/>
      <c r="F23" s="323">
        <v>2704</v>
      </c>
      <c r="G23" s="320">
        <v>4108</v>
      </c>
      <c r="H23" s="320">
        <v>5129</v>
      </c>
      <c r="I23" s="324">
        <f>3815+19</f>
        <v>3834</v>
      </c>
      <c r="J23" s="320">
        <v>4149</v>
      </c>
      <c r="K23" s="320">
        <v>2038</v>
      </c>
      <c r="L23" s="320">
        <v>2573</v>
      </c>
      <c r="M23" s="324">
        <v>3024</v>
      </c>
      <c r="N23" s="287">
        <v>4273</v>
      </c>
      <c r="O23" s="324">
        <v>1962</v>
      </c>
      <c r="P23" s="324">
        <v>1979</v>
      </c>
      <c r="Q23" s="324">
        <v>2255</v>
      </c>
      <c r="R23" s="289"/>
      <c r="S23" s="399">
        <f t="shared" si="4"/>
        <v>15775</v>
      </c>
      <c r="T23" s="358">
        <f t="shared" si="5"/>
        <v>11784</v>
      </c>
      <c r="U23" s="340">
        <f t="shared" si="0"/>
        <v>3991</v>
      </c>
      <c r="V23" s="29">
        <f t="shared" si="1"/>
        <v>0.3386795655125594</v>
      </c>
      <c r="W23" s="331"/>
      <c r="X23" s="287">
        <f t="shared" si="6"/>
        <v>15775</v>
      </c>
      <c r="Y23" s="287">
        <v>11784</v>
      </c>
      <c r="Z23" s="287">
        <v>10469</v>
      </c>
      <c r="AA23" s="42">
        <v>6374</v>
      </c>
      <c r="AB23" s="42">
        <v>5879</v>
      </c>
      <c r="AC23" s="42">
        <v>3463</v>
      </c>
      <c r="AD23" s="3"/>
      <c r="AE23" s="3"/>
      <c r="AF23" s="3"/>
      <c r="AI23" s="3"/>
    </row>
    <row r="24" spans="1:35" ht="12.75" customHeight="1">
      <c r="A24" s="8"/>
      <c r="B24" s="92" t="s">
        <v>147</v>
      </c>
      <c r="C24" s="328">
        <f t="shared" si="2"/>
        <v>1</v>
      </c>
      <c r="D24" s="29">
        <f t="shared" si="3"/>
        <v>0.0022727272727272726</v>
      </c>
      <c r="E24" s="40"/>
      <c r="F24" s="323">
        <v>441</v>
      </c>
      <c r="G24" s="320">
        <v>520</v>
      </c>
      <c r="H24" s="320">
        <v>441</v>
      </c>
      <c r="I24" s="324">
        <v>441</v>
      </c>
      <c r="J24" s="320">
        <v>440</v>
      </c>
      <c r="K24" s="320">
        <v>449</v>
      </c>
      <c r="L24" s="320">
        <v>477</v>
      </c>
      <c r="M24" s="324">
        <v>459</v>
      </c>
      <c r="N24" s="287">
        <v>470</v>
      </c>
      <c r="O24" s="324">
        <v>318</v>
      </c>
      <c r="P24" s="324">
        <v>793</v>
      </c>
      <c r="Q24" s="324">
        <v>435</v>
      </c>
      <c r="R24" s="289"/>
      <c r="S24" s="399">
        <f t="shared" si="4"/>
        <v>1843</v>
      </c>
      <c r="T24" s="358">
        <f t="shared" si="5"/>
        <v>1825</v>
      </c>
      <c r="U24" s="340">
        <f t="shared" si="0"/>
        <v>18</v>
      </c>
      <c r="V24" s="29">
        <f t="shared" si="1"/>
        <v>0.009863013698630137</v>
      </c>
      <c r="W24" s="331"/>
      <c r="X24" s="287">
        <f t="shared" si="6"/>
        <v>1843</v>
      </c>
      <c r="Y24" s="287">
        <v>1825</v>
      </c>
      <c r="Z24" s="287">
        <v>2016</v>
      </c>
      <c r="AA24" s="42">
        <v>716</v>
      </c>
      <c r="AB24" s="42">
        <v>620</v>
      </c>
      <c r="AC24" s="42">
        <v>716</v>
      </c>
      <c r="AD24" s="3"/>
      <c r="AE24" s="3"/>
      <c r="AF24" s="3"/>
      <c r="AI24" s="3"/>
    </row>
    <row r="25" spans="1:35" ht="12.75" customHeight="1">
      <c r="A25" s="7"/>
      <c r="B25" s="92" t="s">
        <v>148</v>
      </c>
      <c r="C25" s="328">
        <f t="shared" si="2"/>
        <v>-24</v>
      </c>
      <c r="D25" s="29">
        <f t="shared" si="3"/>
        <v>-0.064343163538874</v>
      </c>
      <c r="E25" s="40"/>
      <c r="F25" s="323">
        <v>349</v>
      </c>
      <c r="G25" s="320">
        <v>365</v>
      </c>
      <c r="H25" s="320">
        <v>360</v>
      </c>
      <c r="I25" s="324">
        <v>266</v>
      </c>
      <c r="J25" s="320">
        <v>373</v>
      </c>
      <c r="K25" s="320">
        <v>274</v>
      </c>
      <c r="L25" s="320">
        <v>431</v>
      </c>
      <c r="M25" s="324">
        <v>55</v>
      </c>
      <c r="N25" s="287">
        <v>-29</v>
      </c>
      <c r="O25" s="327">
        <v>-181</v>
      </c>
      <c r="P25" s="324">
        <v>240</v>
      </c>
      <c r="Q25" s="324">
        <v>239</v>
      </c>
      <c r="R25" s="289"/>
      <c r="S25" s="399">
        <f t="shared" si="4"/>
        <v>1340</v>
      </c>
      <c r="T25" s="358">
        <f t="shared" si="5"/>
        <v>1133</v>
      </c>
      <c r="U25" s="340">
        <f t="shared" si="0"/>
        <v>207</v>
      </c>
      <c r="V25" s="29">
        <f t="shared" si="1"/>
        <v>0.18270079435127978</v>
      </c>
      <c r="W25" s="331"/>
      <c r="X25" s="287">
        <f t="shared" si="6"/>
        <v>1340</v>
      </c>
      <c r="Y25" s="287">
        <v>1133</v>
      </c>
      <c r="Z25" s="287">
        <v>269</v>
      </c>
      <c r="AA25" s="42">
        <v>0</v>
      </c>
      <c r="AB25" s="42">
        <v>0</v>
      </c>
      <c r="AC25" s="42">
        <v>0</v>
      </c>
      <c r="AD25" s="3"/>
      <c r="AE25" s="3"/>
      <c r="AF25" s="3"/>
      <c r="AI25" s="3"/>
    </row>
    <row r="26" spans="1:35" ht="12.75" customHeight="1">
      <c r="A26" s="8"/>
      <c r="B26" s="7" t="s">
        <v>290</v>
      </c>
      <c r="C26" s="328">
        <f t="shared" si="2"/>
        <v>0</v>
      </c>
      <c r="D26" s="29">
        <v>0</v>
      </c>
      <c r="E26" s="40"/>
      <c r="F26" s="336">
        <v>0</v>
      </c>
      <c r="G26" s="320">
        <v>1274</v>
      </c>
      <c r="H26" s="340">
        <v>0</v>
      </c>
      <c r="I26" s="557">
        <v>0</v>
      </c>
      <c r="J26" s="340">
        <v>0</v>
      </c>
      <c r="K26" s="340">
        <v>0</v>
      </c>
      <c r="L26" s="340">
        <v>0</v>
      </c>
      <c r="M26" s="367">
        <v>0</v>
      </c>
      <c r="N26" s="556">
        <v>0</v>
      </c>
      <c r="O26" s="300"/>
      <c r="P26" s="303"/>
      <c r="Q26" s="303"/>
      <c r="R26" s="289"/>
      <c r="S26" s="399">
        <f t="shared" si="4"/>
        <v>1274</v>
      </c>
      <c r="T26" s="340">
        <f t="shared" si="5"/>
        <v>0</v>
      </c>
      <c r="U26" s="340">
        <f>S26-T26</f>
        <v>1274</v>
      </c>
      <c r="V26" s="29" t="s">
        <v>54</v>
      </c>
      <c r="W26" s="331"/>
      <c r="X26" s="287">
        <f t="shared" si="6"/>
        <v>1274</v>
      </c>
      <c r="Y26" s="42">
        <v>0</v>
      </c>
      <c r="Z26" s="42">
        <v>0</v>
      </c>
      <c r="AA26" s="42">
        <v>0</v>
      </c>
      <c r="AB26" s="42">
        <v>0</v>
      </c>
      <c r="AC26" s="42">
        <v>0</v>
      </c>
      <c r="AD26" s="3"/>
      <c r="AE26" s="3"/>
      <c r="AF26" s="3"/>
      <c r="AI26" s="3"/>
    </row>
    <row r="27" spans="1:35" ht="12.75" customHeight="1">
      <c r="A27" s="8"/>
      <c r="B27" s="7"/>
      <c r="C27" s="333">
        <f t="shared" si="2"/>
        <v>-1449</v>
      </c>
      <c r="D27" s="255">
        <f t="shared" si="3"/>
        <v>-0.09436665581243894</v>
      </c>
      <c r="E27" s="40"/>
      <c r="F27" s="333">
        <f>SUM(F17:F26)</f>
        <v>13906</v>
      </c>
      <c r="G27" s="334">
        <v>16442</v>
      </c>
      <c r="H27" s="334">
        <v>16912</v>
      </c>
      <c r="I27" s="335">
        <f>SUM(I17:I25)</f>
        <v>27847</v>
      </c>
      <c r="J27" s="334">
        <v>15355</v>
      </c>
      <c r="K27" s="334">
        <v>26161</v>
      </c>
      <c r="L27" s="334">
        <v>16080</v>
      </c>
      <c r="M27" s="335">
        <v>36629</v>
      </c>
      <c r="N27" s="293">
        <v>34529</v>
      </c>
      <c r="O27" s="335">
        <v>17475</v>
      </c>
      <c r="P27" s="335">
        <v>18857</v>
      </c>
      <c r="Q27" s="335">
        <v>32279</v>
      </c>
      <c r="R27" s="289"/>
      <c r="S27" s="410">
        <f t="shared" si="4"/>
        <v>75107</v>
      </c>
      <c r="T27" s="407">
        <f t="shared" si="5"/>
        <v>94225</v>
      </c>
      <c r="U27" s="401">
        <f t="shared" si="0"/>
        <v>-19118</v>
      </c>
      <c r="V27" s="255">
        <f t="shared" si="1"/>
        <v>-0.20289732024409657</v>
      </c>
      <c r="W27" s="331"/>
      <c r="X27" s="288">
        <f>SUM(X17:X26)</f>
        <v>75107</v>
      </c>
      <c r="Y27" s="288">
        <v>94225</v>
      </c>
      <c r="Z27" s="288">
        <v>103140</v>
      </c>
      <c r="AA27" s="369">
        <v>83963</v>
      </c>
      <c r="AB27" s="369">
        <v>85664</v>
      </c>
      <c r="AC27" s="369">
        <v>68575</v>
      </c>
      <c r="AD27" s="3"/>
      <c r="AE27" s="3"/>
      <c r="AF27" s="3"/>
      <c r="AI27" s="3"/>
    </row>
    <row r="28" spans="1:35" s="106" customFormat="1" ht="12.75" customHeight="1" thickBot="1">
      <c r="A28" s="228" t="s">
        <v>151</v>
      </c>
      <c r="B28" s="227"/>
      <c r="C28" s="337">
        <f t="shared" si="2"/>
        <v>3509</v>
      </c>
      <c r="D28" s="268">
        <f t="shared" si="3"/>
        <v>-8.455421686746988</v>
      </c>
      <c r="E28" s="40"/>
      <c r="F28" s="337">
        <f>F13-F27</f>
        <v>3094</v>
      </c>
      <c r="G28" s="547">
        <v>-3694</v>
      </c>
      <c r="H28" s="547">
        <v>-5142</v>
      </c>
      <c r="I28" s="550">
        <f>I13-I27</f>
        <v>10342</v>
      </c>
      <c r="J28" s="338">
        <v>-415</v>
      </c>
      <c r="K28" s="338">
        <v>8956</v>
      </c>
      <c r="L28" s="338">
        <v>4777</v>
      </c>
      <c r="M28" s="339">
        <v>20726</v>
      </c>
      <c r="N28" s="295">
        <v>8455</v>
      </c>
      <c r="O28" s="339">
        <v>7520</v>
      </c>
      <c r="P28" s="339">
        <v>10021</v>
      </c>
      <c r="Q28" s="339">
        <v>16613</v>
      </c>
      <c r="R28" s="289"/>
      <c r="S28" s="411">
        <f t="shared" si="4"/>
        <v>4600</v>
      </c>
      <c r="T28" s="409">
        <f t="shared" si="5"/>
        <v>34044</v>
      </c>
      <c r="U28" s="406">
        <f t="shared" si="0"/>
        <v>-29444</v>
      </c>
      <c r="V28" s="268">
        <f t="shared" si="1"/>
        <v>-0.8648807425684408</v>
      </c>
      <c r="W28" s="331"/>
      <c r="X28" s="295">
        <f>X13-X27</f>
        <v>4600</v>
      </c>
      <c r="Y28" s="295">
        <v>34044</v>
      </c>
      <c r="Z28" s="295">
        <v>42609</v>
      </c>
      <c r="AA28" s="370">
        <v>41937</v>
      </c>
      <c r="AB28" s="370">
        <v>30426</v>
      </c>
      <c r="AC28" s="370">
        <v>15914</v>
      </c>
      <c r="AD28" s="3"/>
      <c r="AE28" s="296"/>
      <c r="AF28" s="296"/>
      <c r="AI28" s="296"/>
    </row>
    <row r="29" spans="1:35" s="106" customFormat="1" ht="12.75" customHeight="1" thickTop="1">
      <c r="A29" s="228"/>
      <c r="B29" s="227"/>
      <c r="C29" s="320"/>
      <c r="D29" s="40"/>
      <c r="E29" s="40"/>
      <c r="F29" s="40"/>
      <c r="G29" s="40"/>
      <c r="H29" s="40"/>
      <c r="I29" s="320"/>
      <c r="J29" s="320"/>
      <c r="K29" s="320"/>
      <c r="L29" s="320"/>
      <c r="M29" s="320"/>
      <c r="N29" s="320"/>
      <c r="O29" s="320"/>
      <c r="P29" s="320"/>
      <c r="Q29" s="320"/>
      <c r="R29" s="331"/>
      <c r="S29" s="358"/>
      <c r="T29" s="358"/>
      <c r="U29" s="340"/>
      <c r="V29" s="40"/>
      <c r="W29" s="331"/>
      <c r="X29" s="320"/>
      <c r="Y29" s="92"/>
      <c r="Z29" s="320"/>
      <c r="AA29" s="30"/>
      <c r="AB29" s="30"/>
      <c r="AC29" s="30"/>
      <c r="AD29" s="3"/>
      <c r="AE29" s="296"/>
      <c r="AF29" s="296"/>
      <c r="AI29" s="296"/>
    </row>
    <row r="30" spans="1:35" s="106" customFormat="1" ht="12.75" customHeight="1">
      <c r="A30" s="230" t="s">
        <v>153</v>
      </c>
      <c r="B30" s="227"/>
      <c r="C30" s="314">
        <f>(F30-J30)*100</f>
        <v>-4.999999999999999</v>
      </c>
      <c r="D30" s="34"/>
      <c r="E30" s="34"/>
      <c r="F30" s="34">
        <f>F17/F13</f>
        <v>0.4</v>
      </c>
      <c r="G30" s="34">
        <v>0.5471446501411986</v>
      </c>
      <c r="H30" s="34">
        <v>0.57017841971113</v>
      </c>
      <c r="I30" s="34">
        <f>I17/I13</f>
        <v>0.508759066746969</v>
      </c>
      <c r="J30" s="34">
        <v>0.45</v>
      </c>
      <c r="K30" s="34">
        <v>0.571</v>
      </c>
      <c r="L30" s="34">
        <v>0.455</v>
      </c>
      <c r="M30" s="34">
        <v>0.529</v>
      </c>
      <c r="N30" s="34">
        <v>0.595</v>
      </c>
      <c r="O30" s="34">
        <v>0.473</v>
      </c>
      <c r="P30" s="34">
        <v>0.455</v>
      </c>
      <c r="Q30" s="34">
        <v>0.545</v>
      </c>
      <c r="R30" s="34"/>
      <c r="S30" s="34">
        <f aca="true" t="shared" si="7" ref="S30:T34">X30</f>
        <v>0.5007715758967217</v>
      </c>
      <c r="T30" s="34">
        <f t="shared" si="7"/>
        <v>0.5193616540239653</v>
      </c>
      <c r="U30" s="314">
        <f>(S30-T30)*100+0.1</f>
        <v>-1.7590078127243558</v>
      </c>
      <c r="V30" s="40"/>
      <c r="W30" s="34"/>
      <c r="X30" s="34">
        <f>X17/X13</f>
        <v>0.5007715758967217</v>
      </c>
      <c r="Y30" s="34">
        <v>0.5193616540239653</v>
      </c>
      <c r="Z30" s="34">
        <v>0.529</v>
      </c>
      <c r="AA30" s="372">
        <v>0.547</v>
      </c>
      <c r="AB30" s="372">
        <v>0.569</v>
      </c>
      <c r="AC30" s="372">
        <v>0.639</v>
      </c>
      <c r="AD30" s="3"/>
      <c r="AE30" s="296"/>
      <c r="AF30" s="296"/>
      <c r="AI30" s="296"/>
    </row>
    <row r="31" spans="1:35" s="106" customFormat="1" ht="12.75" customHeight="1">
      <c r="A31" s="230" t="s">
        <v>195</v>
      </c>
      <c r="B31" s="227"/>
      <c r="C31" s="314">
        <f>(F31-J31)*100</f>
        <v>-6.294117647058828</v>
      </c>
      <c r="D31" s="34"/>
      <c r="E31" s="34"/>
      <c r="F31" s="34">
        <f>(F17+F18)/F13</f>
        <v>0.47705882352941176</v>
      </c>
      <c r="G31" s="34">
        <v>0.6529651710072168</v>
      </c>
      <c r="H31" s="34">
        <v>0.7079864061172473</v>
      </c>
      <c r="I31" s="34">
        <f>(I17+I18)/I13</f>
        <v>0.543742962633219</v>
      </c>
      <c r="J31" s="34">
        <v>0.54</v>
      </c>
      <c r="K31" s="34">
        <v>0.602</v>
      </c>
      <c r="L31" s="34">
        <v>0.503</v>
      </c>
      <c r="M31" s="34">
        <v>0.55</v>
      </c>
      <c r="N31" s="34">
        <v>0.606</v>
      </c>
      <c r="O31" s="34">
        <v>0.523</v>
      </c>
      <c r="P31" s="34">
        <v>0.48</v>
      </c>
      <c r="Q31" s="34">
        <v>0.559</v>
      </c>
      <c r="R31" s="34"/>
      <c r="S31" s="34">
        <f t="shared" si="7"/>
        <v>0.5712421744639743</v>
      </c>
      <c r="T31" s="34">
        <f t="shared" si="7"/>
        <v>0.5551770108132129</v>
      </c>
      <c r="U31" s="314">
        <f>(S31-T31)*100+0.1</f>
        <v>1.7065163650761384</v>
      </c>
      <c r="V31" s="40"/>
      <c r="W31" s="34"/>
      <c r="X31" s="34">
        <f>(X17+X18)/X13</f>
        <v>0.5712421744639743</v>
      </c>
      <c r="Y31" s="34">
        <v>0.5551770108132129</v>
      </c>
      <c r="Z31" s="34">
        <v>0.551</v>
      </c>
      <c r="AA31" s="372">
        <v>0.573</v>
      </c>
      <c r="AB31" s="372">
        <v>0.645</v>
      </c>
      <c r="AC31" s="372">
        <v>0.708</v>
      </c>
      <c r="AD31" s="3"/>
      <c r="AE31" s="296"/>
      <c r="AF31" s="296"/>
      <c r="AI31" s="296"/>
    </row>
    <row r="32" spans="1:35" s="106" customFormat="1" ht="12.75" customHeight="1">
      <c r="A32" s="230" t="s">
        <v>155</v>
      </c>
      <c r="B32" s="227"/>
      <c r="C32" s="314">
        <f>(F32-J32)*100</f>
        <v>-14.705882352941174</v>
      </c>
      <c r="D32" s="34"/>
      <c r="E32" s="34"/>
      <c r="F32" s="34">
        <f>(F19+F20+F21+F22+F23+F24+F25+F26)/F13</f>
        <v>0.34094117647058825</v>
      </c>
      <c r="G32" s="34">
        <v>0.6368057734546596</v>
      </c>
      <c r="H32" s="34">
        <v>0.7288870008496177</v>
      </c>
      <c r="I32" s="34">
        <f>(I19+I20+I21+I22+I23+I24+I25)/I13</f>
        <v>0.1854460708581005</v>
      </c>
      <c r="J32" s="34">
        <v>0.488</v>
      </c>
      <c r="K32" s="34">
        <v>0.14300000000000002</v>
      </c>
      <c r="L32" s="34">
        <v>0.268</v>
      </c>
      <c r="M32" s="34">
        <v>0.08899999999999997</v>
      </c>
      <c r="N32" s="34">
        <v>0.19700000000000006</v>
      </c>
      <c r="O32" s="34">
        <v>0.17599999999999993</v>
      </c>
      <c r="P32" s="34">
        <v>0.17300000000000004</v>
      </c>
      <c r="Q32" s="34">
        <v>0.10099999999999998</v>
      </c>
      <c r="R32" s="34"/>
      <c r="S32" s="34">
        <f t="shared" si="7"/>
        <v>0.37104645765114735</v>
      </c>
      <c r="T32" s="34">
        <f t="shared" si="7"/>
        <v>0.1794120169331639</v>
      </c>
      <c r="U32" s="314">
        <f>(S32-T32)*100</f>
        <v>19.163444071798345</v>
      </c>
      <c r="V32" s="40"/>
      <c r="W32" s="34"/>
      <c r="X32" s="34">
        <f>(X19+X20+X21+X22+X23+X24+X25+X26)/X13</f>
        <v>0.37104645765114735</v>
      </c>
      <c r="Y32" s="34">
        <v>0.1794120169331639</v>
      </c>
      <c r="Z32" s="34">
        <v>0.157</v>
      </c>
      <c r="AA32" s="390">
        <v>0.094</v>
      </c>
      <c r="AB32" s="390">
        <v>0.093</v>
      </c>
      <c r="AC32" s="390">
        <v>0.104</v>
      </c>
      <c r="AD32" s="3"/>
      <c r="AE32" s="296"/>
      <c r="AF32" s="296"/>
      <c r="AI32" s="296"/>
    </row>
    <row r="33" spans="1:35" s="106" customFormat="1" ht="12.75" customHeight="1">
      <c r="A33" s="230" t="s">
        <v>156</v>
      </c>
      <c r="B33" s="227"/>
      <c r="C33" s="314">
        <f>(F33-J33)*100</f>
        <v>-21.000000000000007</v>
      </c>
      <c r="D33" s="34"/>
      <c r="E33" s="34"/>
      <c r="F33" s="34">
        <f>F27/F13</f>
        <v>0.818</v>
      </c>
      <c r="G33" s="34">
        <v>1.2897709444618763</v>
      </c>
      <c r="H33" s="34">
        <v>1.436873406966865</v>
      </c>
      <c r="I33" s="34">
        <f>I27/I13</f>
        <v>0.7291890334913195</v>
      </c>
      <c r="J33" s="34">
        <v>1.028</v>
      </c>
      <c r="K33" s="34">
        <v>0.745</v>
      </c>
      <c r="L33" s="34">
        <v>0.771</v>
      </c>
      <c r="M33" s="34">
        <v>0.639</v>
      </c>
      <c r="N33" s="34">
        <v>0.803</v>
      </c>
      <c r="O33" s="34">
        <v>0.699</v>
      </c>
      <c r="P33" s="34">
        <v>0.653</v>
      </c>
      <c r="Q33" s="34">
        <v>0.66</v>
      </c>
      <c r="R33" s="34"/>
      <c r="S33" s="34">
        <f t="shared" si="7"/>
        <v>0.9422886321151216</v>
      </c>
      <c r="T33" s="34">
        <f t="shared" si="7"/>
        <v>0.7335890277463768</v>
      </c>
      <c r="U33" s="314">
        <f>(S33-T33)*100</f>
        <v>20.86996043687448</v>
      </c>
      <c r="V33" s="40"/>
      <c r="W33" s="34"/>
      <c r="X33" s="34">
        <f>X27/X13</f>
        <v>0.9422886321151216</v>
      </c>
      <c r="Y33" s="34">
        <v>0.7335890277463768</v>
      </c>
      <c r="Z33" s="34">
        <v>0.7080000000000001</v>
      </c>
      <c r="AA33" s="390">
        <v>0.6669999999999999</v>
      </c>
      <c r="AB33" s="390">
        <v>0.738</v>
      </c>
      <c r="AC33" s="390">
        <v>0.8119999999999999</v>
      </c>
      <c r="AD33" s="3"/>
      <c r="AE33" s="296"/>
      <c r="AF33" s="296"/>
      <c r="AI33" s="296"/>
    </row>
    <row r="34" spans="1:35" s="106" customFormat="1" ht="12.75" customHeight="1">
      <c r="A34" s="230" t="s">
        <v>157</v>
      </c>
      <c r="B34" s="227"/>
      <c r="C34" s="314">
        <f>(F34-J34)*100</f>
        <v>21.000000000000004</v>
      </c>
      <c r="D34" s="34"/>
      <c r="E34" s="34"/>
      <c r="F34" s="34">
        <f>F28/F13</f>
        <v>0.182</v>
      </c>
      <c r="G34" s="34">
        <v>-0.28977094446187635</v>
      </c>
      <c r="H34" s="34">
        <v>-0.4368734069668649</v>
      </c>
      <c r="I34" s="34">
        <f>I28/I13</f>
        <v>0.27081096650868053</v>
      </c>
      <c r="J34" s="34">
        <v>-0.028000000000000025</v>
      </c>
      <c r="K34" s="34">
        <v>0.255</v>
      </c>
      <c r="L34" s="34">
        <v>0.22899999999999998</v>
      </c>
      <c r="M34" s="34">
        <v>0.361</v>
      </c>
      <c r="N34" s="34">
        <v>0.19699999999999995</v>
      </c>
      <c r="O34" s="34">
        <v>0.30100000000000005</v>
      </c>
      <c r="P34" s="34">
        <v>0.347</v>
      </c>
      <c r="Q34" s="34">
        <v>0.34</v>
      </c>
      <c r="R34" s="34"/>
      <c r="S34" s="34">
        <f t="shared" si="7"/>
        <v>0.057711367884878365</v>
      </c>
      <c r="T34" s="34">
        <f t="shared" si="7"/>
        <v>0.26541097225362326</v>
      </c>
      <c r="U34" s="314">
        <f>(S34-T34)*100</f>
        <v>-20.76996043687449</v>
      </c>
      <c r="V34" s="40"/>
      <c r="W34" s="34"/>
      <c r="X34" s="34">
        <f>X28/X13</f>
        <v>0.057711367884878365</v>
      </c>
      <c r="Y34" s="34">
        <v>0.26541097225362326</v>
      </c>
      <c r="Z34" s="34">
        <v>0.2919999999999999</v>
      </c>
      <c r="AA34" s="372">
        <v>0.3330000000000001</v>
      </c>
      <c r="AB34" s="372">
        <v>0.262</v>
      </c>
      <c r="AC34" s="372">
        <v>0.18800000000000006</v>
      </c>
      <c r="AD34" s="3"/>
      <c r="AE34" s="296"/>
      <c r="AF34" s="296"/>
      <c r="AI34" s="296"/>
    </row>
    <row r="35" spans="1:35" s="106" customFormat="1" ht="12.75" customHeight="1">
      <c r="A35" s="228"/>
      <c r="B35" s="227"/>
      <c r="C35" s="34"/>
      <c r="D35" s="34"/>
      <c r="E35" s="34"/>
      <c r="F35" s="34"/>
      <c r="G35" s="34"/>
      <c r="H35" s="34"/>
      <c r="I35" s="92"/>
      <c r="J35" s="92"/>
      <c r="K35" s="92"/>
      <c r="L35" s="92"/>
      <c r="M35" s="92"/>
      <c r="N35" s="92"/>
      <c r="O35" s="92"/>
      <c r="P35" s="92"/>
      <c r="Q35" s="92"/>
      <c r="R35" s="34"/>
      <c r="S35" s="358"/>
      <c r="T35" s="358"/>
      <c r="U35" s="340"/>
      <c r="V35" s="40"/>
      <c r="W35" s="34"/>
      <c r="X35" s="34"/>
      <c r="Y35" s="34"/>
      <c r="Z35" s="34"/>
      <c r="AA35" s="372"/>
      <c r="AB35" s="372"/>
      <c r="AC35" s="372"/>
      <c r="AD35" s="3"/>
      <c r="AE35" s="296"/>
      <c r="AF35" s="296"/>
      <c r="AI35" s="296"/>
    </row>
    <row r="36" spans="1:35" s="106" customFormat="1" ht="12.75" customHeight="1">
      <c r="A36" s="92" t="s">
        <v>179</v>
      </c>
      <c r="B36" s="227"/>
      <c r="C36" s="252">
        <f>F36-J36</f>
        <v>-11</v>
      </c>
      <c r="D36" s="40">
        <f>C36/J36</f>
        <v>-0.088</v>
      </c>
      <c r="E36" s="40"/>
      <c r="F36" s="233">
        <f>'10 Misc Operating Stats'!F18</f>
        <v>114</v>
      </c>
      <c r="G36" s="92">
        <v>117</v>
      </c>
      <c r="H36" s="229">
        <v>127</v>
      </c>
      <c r="I36" s="92">
        <f>'10 Misc Operating Stats'!I18</f>
        <v>125</v>
      </c>
      <c r="J36" s="92">
        <v>125</v>
      </c>
      <c r="K36" s="92">
        <v>116</v>
      </c>
      <c r="L36" s="92">
        <v>109</v>
      </c>
      <c r="M36" s="92">
        <v>104</v>
      </c>
      <c r="N36" s="92">
        <v>93</v>
      </c>
      <c r="O36" s="92">
        <v>95</v>
      </c>
      <c r="P36" s="92">
        <v>89</v>
      </c>
      <c r="Q36" s="92">
        <v>88</v>
      </c>
      <c r="R36" s="331"/>
      <c r="S36" s="358">
        <f>X36</f>
        <v>114</v>
      </c>
      <c r="T36" s="358">
        <f>Y36</f>
        <v>125</v>
      </c>
      <c r="U36" s="340">
        <f t="shared" si="0"/>
        <v>-11</v>
      </c>
      <c r="V36" s="40">
        <f t="shared" si="1"/>
        <v>-0.088</v>
      </c>
      <c r="W36" s="331"/>
      <c r="X36" s="320">
        <f>'10 Misc Operating Stats'!X18</f>
        <v>114</v>
      </c>
      <c r="Y36" s="92">
        <v>125</v>
      </c>
      <c r="Z36" s="92">
        <v>93</v>
      </c>
      <c r="AA36" s="366">
        <v>81</v>
      </c>
      <c r="AB36" s="366">
        <v>70</v>
      </c>
      <c r="AC36" s="366">
        <v>52</v>
      </c>
      <c r="AD36" s="3"/>
      <c r="AE36" s="296"/>
      <c r="AF36" s="296"/>
      <c r="AI36" s="296"/>
    </row>
    <row r="37" spans="1:35" s="106" customFormat="1" ht="12.75" customHeight="1">
      <c r="A37" s="92"/>
      <c r="B37" s="227"/>
      <c r="C37" s="252"/>
      <c r="D37" s="40"/>
      <c r="E37" s="40"/>
      <c r="F37" s="233"/>
      <c r="G37" s="92"/>
      <c r="H37" s="229"/>
      <c r="I37" s="92"/>
      <c r="J37" s="92"/>
      <c r="K37" s="92"/>
      <c r="L37" s="92"/>
      <c r="M37" s="92"/>
      <c r="N37" s="92"/>
      <c r="O37" s="92"/>
      <c r="P37" s="92"/>
      <c r="Q37" s="92"/>
      <c r="R37" s="331"/>
      <c r="S37" s="358"/>
      <c r="T37" s="358"/>
      <c r="U37" s="340"/>
      <c r="V37" s="40"/>
      <c r="W37" s="331"/>
      <c r="X37" s="320"/>
      <c r="Y37" s="92"/>
      <c r="Z37" s="92"/>
      <c r="AA37" s="366"/>
      <c r="AB37" s="366"/>
      <c r="AC37" s="366"/>
      <c r="AD37" s="3"/>
      <c r="AE37" s="296"/>
      <c r="AF37" s="296"/>
      <c r="AI37" s="296"/>
    </row>
    <row r="38" spans="1:35" ht="18" customHeight="1">
      <c r="A38" s="12" t="s">
        <v>280</v>
      </c>
      <c r="B38" s="7"/>
      <c r="C38" s="92"/>
      <c r="D38" s="92"/>
      <c r="E38" s="233"/>
      <c r="F38" s="233"/>
      <c r="G38" s="233"/>
      <c r="H38" s="233"/>
      <c r="I38" s="233"/>
      <c r="J38" s="233"/>
      <c r="K38" s="233"/>
      <c r="L38" s="92"/>
      <c r="M38" s="92"/>
      <c r="N38" s="92"/>
      <c r="O38" s="92"/>
      <c r="P38" s="92"/>
      <c r="Q38" s="92"/>
      <c r="R38" s="92"/>
      <c r="S38" s="233"/>
      <c r="T38" s="233"/>
      <c r="U38" s="233"/>
      <c r="V38" s="233"/>
      <c r="W38" s="92"/>
      <c r="X38" s="92"/>
      <c r="Y38" s="92"/>
      <c r="Z38" s="92"/>
      <c r="AA38" s="371"/>
      <c r="AB38" s="371"/>
      <c r="AC38" s="371"/>
      <c r="AD38" s="3"/>
      <c r="AE38" s="3"/>
      <c r="AF38" s="3"/>
      <c r="AI38" s="3"/>
    </row>
    <row r="39" spans="1:35" ht="12.75" customHeight="1">
      <c r="A39" s="279"/>
      <c r="B39" s="7"/>
      <c r="C39" s="92"/>
      <c r="D39" s="92"/>
      <c r="E39" s="233"/>
      <c r="F39" s="532"/>
      <c r="G39" s="233"/>
      <c r="H39" s="233"/>
      <c r="I39" s="233"/>
      <c r="J39" s="233"/>
      <c r="K39" s="233"/>
      <c r="L39" s="92"/>
      <c r="M39" s="92"/>
      <c r="N39" s="92"/>
      <c r="O39" s="92"/>
      <c r="P39" s="92"/>
      <c r="Q39" s="92"/>
      <c r="R39" s="92"/>
      <c r="S39" s="233"/>
      <c r="T39" s="233"/>
      <c r="U39" s="233"/>
      <c r="V39" s="233"/>
      <c r="W39" s="92"/>
      <c r="X39" s="92"/>
      <c r="Y39" s="92"/>
      <c r="Z39" s="92"/>
      <c r="AA39" s="371"/>
      <c r="AB39" s="371"/>
      <c r="AC39" s="371"/>
      <c r="AD39" s="3"/>
      <c r="AE39" s="3"/>
      <c r="AF39" s="3"/>
      <c r="AI39" s="3"/>
    </row>
    <row r="40" spans="1:35" ht="12.75" customHeight="1">
      <c r="A40" s="6"/>
      <c r="B40" s="7"/>
      <c r="C40" s="611" t="str">
        <f>C9</f>
        <v>Q4/09 vs. Q4/08</v>
      </c>
      <c r="D40" s="629"/>
      <c r="E40" s="15"/>
      <c r="F40" s="282"/>
      <c r="G40" s="281"/>
      <c r="H40" s="281"/>
      <c r="I40" s="250"/>
      <c r="J40" s="281"/>
      <c r="K40" s="281"/>
      <c r="L40" s="281"/>
      <c r="M40" s="250"/>
      <c r="N40" s="280"/>
      <c r="O40" s="250"/>
      <c r="P40" s="250"/>
      <c r="Q40" s="250"/>
      <c r="R40" s="99"/>
      <c r="S40" s="611" t="str">
        <f>S9</f>
        <v>FY09 vs FY08</v>
      </c>
      <c r="T40" s="640"/>
      <c r="U40" s="640"/>
      <c r="V40" s="641"/>
      <c r="W40" s="15"/>
      <c r="X40" s="98"/>
      <c r="Y40" s="282"/>
      <c r="Z40" s="280"/>
      <c r="AA40" s="98"/>
      <c r="AB40" s="98"/>
      <c r="AC40" s="98"/>
      <c r="AD40" s="3"/>
      <c r="AE40" s="3"/>
      <c r="AF40" s="3"/>
      <c r="AI40" s="3"/>
    </row>
    <row r="41" spans="1:35" ht="12.75" customHeight="1">
      <c r="A41" s="6" t="s">
        <v>199</v>
      </c>
      <c r="B41" s="7"/>
      <c r="C41" s="635" t="s">
        <v>250</v>
      </c>
      <c r="D41" s="636"/>
      <c r="E41" s="283"/>
      <c r="F41" s="20" t="s">
        <v>166</v>
      </c>
      <c r="G41" s="21" t="s">
        <v>167</v>
      </c>
      <c r="H41" s="21" t="s">
        <v>168</v>
      </c>
      <c r="I41" s="14" t="s">
        <v>42</v>
      </c>
      <c r="J41" s="15" t="s">
        <v>43</v>
      </c>
      <c r="K41" s="15" t="s">
        <v>44</v>
      </c>
      <c r="L41" s="15" t="s">
        <v>45</v>
      </c>
      <c r="M41" s="319" t="s">
        <v>46</v>
      </c>
      <c r="N41" s="345" t="s">
        <v>47</v>
      </c>
      <c r="O41" s="319" t="s">
        <v>48</v>
      </c>
      <c r="P41" s="319" t="s">
        <v>49</v>
      </c>
      <c r="Q41" s="319" t="s">
        <v>50</v>
      </c>
      <c r="R41" s="345"/>
      <c r="S41" s="318" t="str">
        <f>S10</f>
        <v>FY09</v>
      </c>
      <c r="T41" s="15" t="str">
        <f>T10</f>
        <v>FY08</v>
      </c>
      <c r="U41" s="637" t="s">
        <v>51</v>
      </c>
      <c r="V41" s="638"/>
      <c r="W41" s="283"/>
      <c r="X41" s="20" t="s">
        <v>55</v>
      </c>
      <c r="Y41" s="20" t="s">
        <v>52</v>
      </c>
      <c r="Z41" s="23" t="s">
        <v>53</v>
      </c>
      <c r="AA41" s="23" t="s">
        <v>242</v>
      </c>
      <c r="AB41" s="23" t="s">
        <v>243</v>
      </c>
      <c r="AC41" s="23" t="s">
        <v>249</v>
      </c>
      <c r="AD41" s="3"/>
      <c r="AE41" s="3"/>
      <c r="AF41" s="3"/>
      <c r="AI41" s="3"/>
    </row>
    <row r="42" spans="1:35" ht="12.75" customHeight="1">
      <c r="A42" s="232"/>
      <c r="B42" s="233" t="s">
        <v>4</v>
      </c>
      <c r="C42" s="527">
        <f>F42-J42</f>
        <v>2060</v>
      </c>
      <c r="D42" s="418">
        <f>C42/J42</f>
        <v>0.13788487282463185</v>
      </c>
      <c r="E42" s="233"/>
      <c r="F42" s="316">
        <f>F13</f>
        <v>17000</v>
      </c>
      <c r="G42" s="400">
        <v>12748</v>
      </c>
      <c r="H42" s="400">
        <f aca="true" t="shared" si="8" ref="H42:M42">H13</f>
        <v>11770</v>
      </c>
      <c r="I42" s="463">
        <f t="shared" si="8"/>
        <v>38189</v>
      </c>
      <c r="J42" s="321">
        <f t="shared" si="8"/>
        <v>14940</v>
      </c>
      <c r="K42" s="321">
        <f t="shared" si="8"/>
        <v>35117</v>
      </c>
      <c r="L42" s="321">
        <f t="shared" si="8"/>
        <v>20857</v>
      </c>
      <c r="M42" s="322">
        <f t="shared" si="8"/>
        <v>57355</v>
      </c>
      <c r="N42" s="343">
        <f>N13</f>
        <v>42984</v>
      </c>
      <c r="O42" s="322">
        <v>8055</v>
      </c>
      <c r="P42" s="322">
        <v>7372</v>
      </c>
      <c r="Q42" s="322">
        <v>8735</v>
      </c>
      <c r="R42" s="99"/>
      <c r="S42" s="316">
        <f aca="true" t="shared" si="9" ref="S42:T44">X42</f>
        <v>79707</v>
      </c>
      <c r="T42" s="416">
        <f t="shared" si="9"/>
        <v>128269</v>
      </c>
      <c r="U42" s="417">
        <f>S42-T42</f>
        <v>-48562</v>
      </c>
      <c r="V42" s="418">
        <f>U42/T42</f>
        <v>-0.37859498397898167</v>
      </c>
      <c r="W42" s="92"/>
      <c r="X42" s="265">
        <f>F42+G42+H42+I42</f>
        <v>79707</v>
      </c>
      <c r="Y42" s="287">
        <f>Y13</f>
        <v>128269</v>
      </c>
      <c r="Z42" s="287">
        <f>Z13</f>
        <v>145749</v>
      </c>
      <c r="AA42" s="385">
        <f>AA13</f>
        <v>125900</v>
      </c>
      <c r="AB42" s="385">
        <f>AB13</f>
        <v>116090</v>
      </c>
      <c r="AC42" s="385">
        <f>AC13</f>
        <v>84489</v>
      </c>
      <c r="AD42" s="3"/>
      <c r="AE42" s="3"/>
      <c r="AF42" s="3"/>
      <c r="AI42" s="3"/>
    </row>
    <row r="43" spans="1:35" ht="12.75" customHeight="1">
      <c r="A43" s="92"/>
      <c r="B43" s="233" t="s">
        <v>163</v>
      </c>
      <c r="C43" s="93">
        <f>F43-J43</f>
        <v>-1449</v>
      </c>
      <c r="D43" s="44">
        <f>C43/J43</f>
        <v>-0.09436665581243894</v>
      </c>
      <c r="E43" s="11"/>
      <c r="F43" s="503">
        <f>F27-F26</f>
        <v>13906</v>
      </c>
      <c r="G43" s="530">
        <v>15168</v>
      </c>
      <c r="H43" s="530">
        <f aca="true" t="shared" si="10" ref="H43:M43">H27</f>
        <v>16912</v>
      </c>
      <c r="I43" s="463">
        <f t="shared" si="10"/>
        <v>27847</v>
      </c>
      <c r="J43" s="320">
        <f t="shared" si="10"/>
        <v>15355</v>
      </c>
      <c r="K43" s="320">
        <f t="shared" si="10"/>
        <v>26161</v>
      </c>
      <c r="L43" s="320">
        <f t="shared" si="10"/>
        <v>16080</v>
      </c>
      <c r="M43" s="324">
        <f t="shared" si="10"/>
        <v>36629</v>
      </c>
      <c r="N43" s="287">
        <f>N27</f>
        <v>34529</v>
      </c>
      <c r="O43" s="324">
        <v>19182</v>
      </c>
      <c r="P43" s="324">
        <v>18732</v>
      </c>
      <c r="Q43" s="324">
        <v>20213</v>
      </c>
      <c r="R43" s="99"/>
      <c r="S43" s="317">
        <f t="shared" si="9"/>
        <v>73833</v>
      </c>
      <c r="T43" s="400">
        <f t="shared" si="9"/>
        <v>94225</v>
      </c>
      <c r="U43" s="238">
        <f>S43-T43</f>
        <v>-20392</v>
      </c>
      <c r="V43" s="44">
        <f>U43/T43</f>
        <v>-0.2164181480498806</v>
      </c>
      <c r="W43" s="92"/>
      <c r="X43" s="265">
        <f>F43+G43+H43+I43</f>
        <v>73833</v>
      </c>
      <c r="Y43" s="287">
        <f>Y27</f>
        <v>94225</v>
      </c>
      <c r="Z43" s="287">
        <f>Z27</f>
        <v>103140</v>
      </c>
      <c r="AA43" s="37">
        <f>AA27</f>
        <v>83963</v>
      </c>
      <c r="AB43" s="42">
        <f>AB27</f>
        <v>85664</v>
      </c>
      <c r="AC43" s="42">
        <f>AC27</f>
        <v>68575</v>
      </c>
      <c r="AD43" s="3"/>
      <c r="AE43" s="3"/>
      <c r="AF43" s="3"/>
      <c r="AI43" s="3"/>
    </row>
    <row r="44" spans="1:35" ht="12.75" customHeight="1">
      <c r="A44" s="92"/>
      <c r="B44" s="233" t="s">
        <v>151</v>
      </c>
      <c r="C44" s="239">
        <f>F44-J44</f>
        <v>3509</v>
      </c>
      <c r="D44" s="240">
        <f>C44/J44</f>
        <v>-8.455421686746988</v>
      </c>
      <c r="E44" s="11"/>
      <c r="F44" s="554">
        <f>F42-F43</f>
        <v>3094</v>
      </c>
      <c r="G44" s="543">
        <v>-2420</v>
      </c>
      <c r="H44" s="543">
        <f aca="true" t="shared" si="11" ref="H44:M44">H42-H43</f>
        <v>-5142</v>
      </c>
      <c r="I44" s="465">
        <f t="shared" si="11"/>
        <v>10342</v>
      </c>
      <c r="J44" s="326">
        <f t="shared" si="11"/>
        <v>-415</v>
      </c>
      <c r="K44" s="326">
        <f t="shared" si="11"/>
        <v>8956</v>
      </c>
      <c r="L44" s="326">
        <f t="shared" si="11"/>
        <v>4777</v>
      </c>
      <c r="M44" s="327">
        <f t="shared" si="11"/>
        <v>20726</v>
      </c>
      <c r="N44" s="293">
        <f>N42-N43</f>
        <v>8455</v>
      </c>
      <c r="O44" s="327">
        <v>-11127</v>
      </c>
      <c r="P44" s="327">
        <v>-11360</v>
      </c>
      <c r="Q44" s="327">
        <v>-11478</v>
      </c>
      <c r="R44" s="99"/>
      <c r="S44" s="315">
        <f t="shared" si="9"/>
        <v>5874</v>
      </c>
      <c r="T44" s="412">
        <f t="shared" si="9"/>
        <v>34044</v>
      </c>
      <c r="U44" s="419">
        <f>S44-T44</f>
        <v>-28170</v>
      </c>
      <c r="V44" s="240">
        <f>U44/T44</f>
        <v>-0.827458583010222</v>
      </c>
      <c r="W44" s="92"/>
      <c r="X44" s="284">
        <f>F44+G44+H44+I44</f>
        <v>5874</v>
      </c>
      <c r="Y44" s="293">
        <f>Y42-Y43</f>
        <v>34044</v>
      </c>
      <c r="Z44" s="293">
        <f>Z42-Z43</f>
        <v>42609</v>
      </c>
      <c r="AA44" s="245">
        <f>AA42-AA43</f>
        <v>41937</v>
      </c>
      <c r="AB44" s="245">
        <f>AB42-AB43</f>
        <v>30426</v>
      </c>
      <c r="AC44" s="245">
        <f>AC42-AC43</f>
        <v>15914</v>
      </c>
      <c r="AD44" s="3"/>
      <c r="AE44" s="3"/>
      <c r="AF44" s="3"/>
      <c r="AI44" s="3"/>
    </row>
    <row r="45" spans="1:35" ht="12.75" customHeight="1">
      <c r="A45" s="229"/>
      <c r="B45" s="229"/>
      <c r="C45" s="340"/>
      <c r="D45" s="40"/>
      <c r="E45" s="40"/>
      <c r="F45" s="40"/>
      <c r="G45" s="40"/>
      <c r="H45" s="40"/>
      <c r="I45" s="2"/>
      <c r="J45" s="3"/>
      <c r="K45" s="3"/>
      <c r="M45" s="3"/>
      <c r="N45" s="3"/>
      <c r="O45" s="3"/>
      <c r="Q45" s="320"/>
      <c r="R45" s="329"/>
      <c r="S45" s="329"/>
      <c r="T45" s="329"/>
      <c r="U45" s="340"/>
      <c r="V45" s="40"/>
      <c r="W45" s="329"/>
      <c r="X45" s="329"/>
      <c r="AD45" s="3"/>
      <c r="AE45" s="3"/>
      <c r="AF45" s="3"/>
      <c r="AI45" s="3"/>
    </row>
    <row r="46" spans="1:32" ht="12.75" customHeight="1">
      <c r="A46" s="1" t="s">
        <v>41</v>
      </c>
      <c r="B46" s="13"/>
      <c r="C46" s="341"/>
      <c r="D46" s="341"/>
      <c r="E46" s="341"/>
      <c r="F46" s="341"/>
      <c r="G46" s="341"/>
      <c r="H46" s="341"/>
      <c r="I46" s="2"/>
      <c r="M46" s="2"/>
      <c r="O46" s="2"/>
      <c r="P46" s="2"/>
      <c r="Q46" s="342"/>
      <c r="R46" s="329"/>
      <c r="S46" s="329"/>
      <c r="T46" s="329"/>
      <c r="U46" s="329"/>
      <c r="V46" s="329"/>
      <c r="W46" s="331"/>
      <c r="X46" s="331"/>
      <c r="AD46" s="3"/>
      <c r="AE46" s="3"/>
      <c r="AF46" s="3"/>
    </row>
    <row r="47" spans="1:32" ht="12.75">
      <c r="A47" s="3"/>
      <c r="B47" s="3"/>
      <c r="C47" s="329"/>
      <c r="D47" s="329"/>
      <c r="E47" s="329"/>
      <c r="F47" s="329"/>
      <c r="G47" s="329"/>
      <c r="H47" s="329"/>
      <c r="I47" s="31"/>
      <c r="J47" s="43"/>
      <c r="K47" s="31"/>
      <c r="L47" s="31"/>
      <c r="M47" s="31"/>
      <c r="N47" s="36"/>
      <c r="O47" s="36"/>
      <c r="P47" s="33"/>
      <c r="Q47" s="341"/>
      <c r="R47" s="329"/>
      <c r="S47" s="329"/>
      <c r="T47" s="329"/>
      <c r="U47" s="329"/>
      <c r="V47" s="329"/>
      <c r="W47" s="331"/>
      <c r="X47" s="331"/>
      <c r="Y47" s="340"/>
      <c r="Z47" s="340"/>
      <c r="AD47" s="3"/>
      <c r="AE47" s="3"/>
      <c r="AF47" s="3"/>
    </row>
    <row r="48" spans="3:32" ht="12.75">
      <c r="C48" s="92"/>
      <c r="D48" s="92"/>
      <c r="E48" s="233"/>
      <c r="F48" s="233"/>
      <c r="G48" s="233"/>
      <c r="H48" s="233"/>
      <c r="I48" s="329"/>
      <c r="J48" s="331"/>
      <c r="K48" s="331"/>
      <c r="L48" s="331"/>
      <c r="M48" s="320"/>
      <c r="N48" s="320"/>
      <c r="O48" s="320"/>
      <c r="P48" s="320"/>
      <c r="Q48" s="30"/>
      <c r="R48" s="233"/>
      <c r="S48" s="233"/>
      <c r="T48" s="233"/>
      <c r="U48" s="233"/>
      <c r="V48" s="233"/>
      <c r="W48" s="92"/>
      <c r="X48" s="92"/>
      <c r="Z48" s="30"/>
      <c r="AD48" s="3"/>
      <c r="AE48" s="3"/>
      <c r="AF48" s="3"/>
    </row>
    <row r="49" spans="3:32" ht="12.75">
      <c r="C49" s="92"/>
      <c r="D49" s="92"/>
      <c r="E49" s="233"/>
      <c r="F49" s="233"/>
      <c r="G49" s="233"/>
      <c r="H49" s="233"/>
      <c r="Q49" s="30"/>
      <c r="R49" s="233"/>
      <c r="S49" s="233"/>
      <c r="T49" s="233"/>
      <c r="U49" s="233"/>
      <c r="V49" s="233"/>
      <c r="W49" s="92"/>
      <c r="X49" s="92"/>
      <c r="Z49" s="30"/>
      <c r="AD49" s="3"/>
      <c r="AE49" s="3"/>
      <c r="AF49" s="3"/>
    </row>
    <row r="50" spans="3:26" ht="12.75">
      <c r="C50" s="92"/>
      <c r="D50" s="92"/>
      <c r="E50" s="233"/>
      <c r="F50" s="233"/>
      <c r="G50" s="233"/>
      <c r="H50" s="233"/>
      <c r="Q50" s="30"/>
      <c r="R50" s="233"/>
      <c r="S50" s="233"/>
      <c r="T50" s="233"/>
      <c r="U50" s="233"/>
      <c r="V50" s="233"/>
      <c r="W50" s="92"/>
      <c r="X50" s="92"/>
      <c r="Z50" s="30"/>
    </row>
    <row r="51" spans="3:26" ht="12.75">
      <c r="C51" s="92"/>
      <c r="D51" s="92"/>
      <c r="E51" s="233"/>
      <c r="F51" s="233"/>
      <c r="G51" s="233"/>
      <c r="H51" s="233"/>
      <c r="Q51" s="30"/>
      <c r="R51" s="233"/>
      <c r="S51" s="233"/>
      <c r="T51" s="233"/>
      <c r="U51" s="92"/>
      <c r="V51" s="92"/>
      <c r="W51" s="92"/>
      <c r="X51" s="92"/>
      <c r="Z51" s="7"/>
    </row>
    <row r="52" spans="17:28" ht="12.75">
      <c r="Q52" s="11"/>
      <c r="R52" s="3"/>
      <c r="S52" s="3"/>
      <c r="T52" s="3"/>
      <c r="Z52" s="31"/>
      <c r="AB52" s="30"/>
    </row>
    <row r="53" spans="17:28" ht="12.75">
      <c r="Q53" s="32"/>
      <c r="R53" s="3"/>
      <c r="S53" s="3"/>
      <c r="T53" s="3"/>
      <c r="Z53" s="2"/>
      <c r="AB53" s="371"/>
    </row>
    <row r="54" spans="17:26" ht="12.75">
      <c r="Q54" s="237"/>
      <c r="R54" s="3"/>
      <c r="S54" s="3"/>
      <c r="T54" s="3"/>
      <c r="Z54" s="2"/>
    </row>
    <row r="55" spans="17:26" ht="12.75">
      <c r="Q55" s="2"/>
      <c r="R55" s="3"/>
      <c r="S55" s="3"/>
      <c r="T55" s="3"/>
      <c r="Z55" s="50"/>
    </row>
    <row r="56" spans="9:26" ht="12.75">
      <c r="I56" s="3"/>
      <c r="J56" s="3"/>
      <c r="N56" s="3"/>
      <c r="Q56" s="1"/>
      <c r="R56" s="3"/>
      <c r="S56" s="3"/>
      <c r="T56" s="3"/>
      <c r="Z56" s="50"/>
    </row>
    <row r="57" spans="17:26" ht="12.75">
      <c r="Q57" s="31"/>
      <c r="R57" s="3"/>
      <c r="S57" s="3"/>
      <c r="T57" s="3"/>
      <c r="Z57" s="51"/>
    </row>
    <row r="58" spans="17:26" ht="12.75">
      <c r="Q58" s="46"/>
      <c r="R58" s="3"/>
      <c r="S58" s="3"/>
      <c r="T58" s="3"/>
      <c r="Z58" s="52"/>
    </row>
    <row r="59" spans="17:26" ht="12.75">
      <c r="Q59" s="46"/>
      <c r="R59" s="3"/>
      <c r="S59" s="3"/>
      <c r="T59" s="3"/>
      <c r="Z59" s="34"/>
    </row>
    <row r="60" spans="17:26" ht="12.75">
      <c r="Q60" s="40"/>
      <c r="R60" s="3"/>
      <c r="S60" s="3"/>
      <c r="T60" s="3"/>
      <c r="Z60" s="34"/>
    </row>
    <row r="61" spans="17:26" ht="12.75">
      <c r="Q61" s="34"/>
      <c r="R61" s="3"/>
      <c r="S61" s="3"/>
      <c r="T61" s="3"/>
      <c r="Z61" s="35"/>
    </row>
    <row r="62" spans="17:26" ht="12.75">
      <c r="Q62" s="35"/>
      <c r="R62" s="3"/>
      <c r="S62" s="3"/>
      <c r="T62" s="3"/>
      <c r="Y62" s="35"/>
      <c r="Z62" s="35"/>
    </row>
    <row r="63" spans="17:26" ht="12.75">
      <c r="Q63" s="35"/>
      <c r="R63" s="3"/>
      <c r="S63" s="3"/>
      <c r="T63" s="3"/>
      <c r="Y63" s="3"/>
      <c r="Z63" s="3"/>
    </row>
    <row r="64" spans="17:26" ht="12.75">
      <c r="Q64" s="3"/>
      <c r="R64" s="3"/>
      <c r="S64" s="3"/>
      <c r="T64" s="3"/>
      <c r="Y64" s="3"/>
      <c r="Z64" s="3"/>
    </row>
    <row r="65" spans="17:26" ht="12.75">
      <c r="Q65" s="3"/>
      <c r="R65" s="3"/>
      <c r="S65" s="3"/>
      <c r="T65" s="3"/>
      <c r="Y65" s="3"/>
      <c r="Z65" s="3"/>
    </row>
    <row r="66" spans="17:26" ht="12.75">
      <c r="Q66" s="3"/>
      <c r="R66" s="3"/>
      <c r="S66" s="3"/>
      <c r="T66" s="3"/>
      <c r="Y66" s="3"/>
      <c r="Z66" s="3"/>
    </row>
    <row r="67" spans="17:26" ht="12.75">
      <c r="Q67" s="3"/>
      <c r="R67" s="3"/>
      <c r="S67" s="3"/>
      <c r="T67" s="3"/>
      <c r="Y67" s="3"/>
      <c r="Z67" s="3"/>
    </row>
    <row r="68" spans="17:20" ht="12.75">
      <c r="Q68" s="3"/>
      <c r="R68" s="3"/>
      <c r="S68" s="3"/>
      <c r="T68" s="3"/>
    </row>
  </sheetData>
  <mergeCells count="9">
    <mergeCell ref="C40:D40"/>
    <mergeCell ref="S40:V40"/>
    <mergeCell ref="C41:D41"/>
    <mergeCell ref="U41:V41"/>
    <mergeCell ref="S8:V8"/>
    <mergeCell ref="S9:V9"/>
    <mergeCell ref="C9:D9"/>
    <mergeCell ref="C10:D10"/>
    <mergeCell ref="U10:V10"/>
  </mergeCells>
  <conditionalFormatting sqref="W30:Z35 AB53 A45:B45 A30:A31 C35:H35 R30:R35 D30:Q34 S30:T34 A38:A39">
    <cfRule type="cellIs" priority="1" dxfId="0" operator="equal" stopIfTrue="1">
      <formula>0</formula>
    </cfRule>
  </conditionalFormatting>
  <printOptions/>
  <pageMargins left="0.24" right="0.18" top="0.41" bottom="0.59" header="0.38" footer="0.36"/>
  <pageSetup horizontalDpi="600" verticalDpi="600" orientation="landscape" scale="55" r:id="rId2"/>
  <headerFooter alignWithMargins="0">
    <oddFooter>&amp;LCCI Supplementary Fiscal Q4/09 - May 20, 2009&amp;CPage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Grisdale</dc:creator>
  <cp:keywords/>
  <dc:description/>
  <cp:lastModifiedBy>j_fenney</cp:lastModifiedBy>
  <cp:lastPrinted>2009-05-19T23:28:16Z</cp:lastPrinted>
  <dcterms:created xsi:type="dcterms:W3CDTF">2008-06-18T15:17:32Z</dcterms:created>
  <dcterms:modified xsi:type="dcterms:W3CDTF">2009-05-20T10:42:09Z</dcterms:modified>
  <cp:category/>
  <cp:version/>
  <cp:contentType/>
  <cp:contentStatus/>
</cp:coreProperties>
</file>